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tabRatio="656" activeTab="0"/>
  </bookViews>
  <sheets>
    <sheet name="Потребление" sheetId="1" r:id="rId1"/>
    <sheet name="Пересчет в Дж" sheetId="2" r:id="rId2"/>
  </sheets>
  <definedNames/>
  <calcPr calcMode="autoNoTable" fullCalcOnLoad="1"/>
</workbook>
</file>

<file path=xl/comments1.xml><?xml version="1.0" encoding="utf-8"?>
<comments xmlns="http://schemas.openxmlformats.org/spreadsheetml/2006/main">
  <authors>
    <author>Veretennikova Anna</author>
    <author>Yashin Alexander</author>
  </authors>
  <commentList>
    <comment ref="I99" authorId="0">
      <text>
        <r>
          <rPr>
            <b/>
            <sz val="11"/>
            <rFont val="Tahoma"/>
            <family val="2"/>
          </rPr>
          <t>Veretennikova Anna:</t>
        </r>
        <r>
          <rPr>
            <sz val="11"/>
            <rFont val="Tahoma"/>
            <family val="2"/>
          </rPr>
          <t xml:space="preserve">
в том числе поставка от Дорогобужа 6,89195  тыс. т</t>
        </r>
      </text>
    </comment>
    <comment ref="K99" authorId="0">
      <text>
        <r>
          <rPr>
            <b/>
            <sz val="9"/>
            <rFont val="Tahoma"/>
            <family val="2"/>
          </rPr>
          <t>Veretennikova Anna:</t>
        </r>
        <r>
          <rPr>
            <sz val="9"/>
            <rFont val="Tahoma"/>
            <family val="2"/>
          </rPr>
          <t xml:space="preserve">
в том числе от Дорогобужа 322 402,05271 тыс. руб</t>
        </r>
      </text>
    </comment>
    <comment ref="K107" authorId="0">
      <text>
        <r>
          <rPr>
            <b/>
            <sz val="9"/>
            <rFont val="Tahoma"/>
            <family val="2"/>
          </rPr>
          <t>Veretennikova Anna:</t>
        </r>
        <r>
          <rPr>
            <sz val="9"/>
            <rFont val="Tahoma"/>
            <family val="2"/>
          </rPr>
          <t xml:space="preserve">
в том числе от Дорогобужа                343 530,79021 тыс. руб.</t>
        </r>
      </text>
    </comment>
    <comment ref="F108" authorId="1">
      <text>
        <r>
          <rPr>
            <sz val="9"/>
            <rFont val="Tahoma"/>
            <family val="2"/>
          </rPr>
          <t>в т.ч. от Акрона 17 211,13 т. Из них производства Акрон 8 291,42т, перепродажа 8 039,89т</t>
        </r>
      </text>
    </comment>
    <comment ref="H108" authorId="1">
      <text>
        <r>
          <rPr>
            <sz val="9"/>
            <rFont val="Tahoma"/>
            <family val="2"/>
          </rPr>
          <t>в т.ч. от Акрона 563 697 175,92 руб</t>
        </r>
      </text>
    </comment>
  </commentList>
</comments>
</file>

<file path=xl/comments2.xml><?xml version="1.0" encoding="utf-8"?>
<comments xmlns="http://schemas.openxmlformats.org/spreadsheetml/2006/main">
  <authors>
    <author>Yashin Alexander</author>
  </authors>
  <commentList>
    <comment ref="E16" authorId="0">
      <text>
        <r>
          <rPr>
            <sz val="9"/>
            <rFont val="Tahoma"/>
            <family val="2"/>
          </rPr>
          <t>А+Д</t>
        </r>
      </text>
    </comment>
  </commentList>
</comments>
</file>

<file path=xl/sharedStrings.xml><?xml version="1.0" encoding="utf-8"?>
<sst xmlns="http://schemas.openxmlformats.org/spreadsheetml/2006/main" count="1053" uniqueCount="92">
  <si>
    <t>Природный газ</t>
  </si>
  <si>
    <t>Акрон</t>
  </si>
  <si>
    <t>Дорогобуж</t>
  </si>
  <si>
    <t>Акрон+Дорогобуж</t>
  </si>
  <si>
    <t>Электричество</t>
  </si>
  <si>
    <t>Объем потребления, млн м3</t>
  </si>
  <si>
    <t>Объем потребления тыс.т</t>
  </si>
  <si>
    <t>Сумма тыс.руб.</t>
  </si>
  <si>
    <t>Средняя цена руб./т</t>
  </si>
  <si>
    <t>Средняя цена руб./тыс. м3</t>
  </si>
  <si>
    <t>Natural gas</t>
  </si>
  <si>
    <t>Acron</t>
  </si>
  <si>
    <t>Dorogobuzh</t>
  </si>
  <si>
    <t>Acron+Dorogobuzh</t>
  </si>
  <si>
    <t>Electricity</t>
  </si>
  <si>
    <t>Consumption volume, mln m3</t>
  </si>
  <si>
    <t>Average price RUB/000'm3</t>
  </si>
  <si>
    <t>Amount, 000' RUB</t>
  </si>
  <si>
    <t>Consumption volume, 000't</t>
  </si>
  <si>
    <t>Average price RUB/t</t>
  </si>
  <si>
    <t>Consumption volume, mn m3</t>
  </si>
  <si>
    <t>Объем потребления, 
млн м3</t>
  </si>
  <si>
    <t>Средняя цена, руб./тыс. м3</t>
  </si>
  <si>
    <t>Средняя цена, 
руб./ тыс. м3</t>
  </si>
  <si>
    <t>Объем потребления, тыс. т</t>
  </si>
  <si>
    <t>Средняя цена, 
руб./т</t>
  </si>
  <si>
    <t>Сумма, 
тыс. руб.</t>
  </si>
  <si>
    <t>Объем потребления, 
тыс. т</t>
  </si>
  <si>
    <t>* Контрактная цена. Не включает в себя премию за поставки на внутренний рынок</t>
  </si>
  <si>
    <t>* Contract price, excludes premium for Russian market sales</t>
  </si>
  <si>
    <t>Хунжи-Акрон</t>
  </si>
  <si>
    <t>Всего по Группе</t>
  </si>
  <si>
    <t>Group total</t>
  </si>
  <si>
    <t>Hongri Acron</t>
  </si>
  <si>
    <t>Калийное сырье (сильвин* и хлористый калий)</t>
  </si>
  <si>
    <t>Potash (or silvin* in Russia)</t>
  </si>
  <si>
    <t>Затраты на доставку</t>
  </si>
  <si>
    <t>СЗФК</t>
  </si>
  <si>
    <t>NWPC</t>
  </si>
  <si>
    <t>Тепловая энергия</t>
  </si>
  <si>
    <t>Steam</t>
  </si>
  <si>
    <t>Объем потребления, 
тыс. Гкал</t>
  </si>
  <si>
    <t>Consumption volume, 000' Gcal</t>
  </si>
  <si>
    <t>Средняя цена,
руб./тыс. Гкал</t>
  </si>
  <si>
    <t>Average price RUB/000' Gcal</t>
  </si>
  <si>
    <t>Бензин автомобильный</t>
  </si>
  <si>
    <t>Consumption volume, 000' litres</t>
  </si>
  <si>
    <t>Средняя цена,
руб./литр</t>
  </si>
  <si>
    <t>Average price RUB/litre</t>
  </si>
  <si>
    <t>Объем потребления, 
тыс. литров</t>
  </si>
  <si>
    <t xml:space="preserve">Топливо дизельное </t>
  </si>
  <si>
    <t>Мазут</t>
  </si>
  <si>
    <t>Consumption volume, 000' t</t>
  </si>
  <si>
    <t>Средняя цена,
руб./т</t>
  </si>
  <si>
    <t>Калийное сырье (сульфат калия)</t>
  </si>
  <si>
    <t>Potassium sulfate (SOP)</t>
  </si>
  <si>
    <t>Аммиак</t>
  </si>
  <si>
    <t>Ammonia</t>
  </si>
  <si>
    <t>Потребление ресурсов заводами Группы Акрон (внешних)</t>
  </si>
  <si>
    <t>Phosphate raw materials with P2O5 content more than 36% (apatite in Russia)</t>
  </si>
  <si>
    <t>Фосфатное сырье с содержанием P2O5 более 36% (апатитовый концентрат в РФ)</t>
  </si>
  <si>
    <t>Всего по Группе закупка</t>
  </si>
  <si>
    <t>Group total purchase</t>
  </si>
  <si>
    <t>Apatite delivery costs</t>
  </si>
  <si>
    <t>Including delivery</t>
  </si>
  <si>
    <t>С учетом доставки</t>
  </si>
  <si>
    <t>Potash delivery costs</t>
  </si>
  <si>
    <t>Ammonia delivery costs</t>
  </si>
  <si>
    <t>Average price RUB/MWt*h</t>
  </si>
  <si>
    <t>Средняя цена,
руб./МВтч</t>
  </si>
  <si>
    <t>Consumption volume, 000' MWt*h</t>
  </si>
  <si>
    <t>Объем потребления, 
тыс. МВтч</t>
  </si>
  <si>
    <t>Суммарное потребление энергии по Группе "Акрон"</t>
  </si>
  <si>
    <t>Бензин</t>
  </si>
  <si>
    <t>Дизель</t>
  </si>
  <si>
    <t>Энергоресурс</t>
  </si>
  <si>
    <t>млн кВт*ч</t>
  </si>
  <si>
    <t>млн м куб.</t>
  </si>
  <si>
    <t>тыс. Г.кал</t>
  </si>
  <si>
    <t>тыс. л</t>
  </si>
  <si>
    <t>тыс. т</t>
  </si>
  <si>
    <t>Ед. изм.</t>
  </si>
  <si>
    <t>Тепловая энергия, приобретено</t>
  </si>
  <si>
    <t>Электричество, приобретено</t>
  </si>
  <si>
    <t>Коэфф.</t>
  </si>
  <si>
    <t>Итого</t>
  </si>
  <si>
    <t>ГДж</t>
  </si>
  <si>
    <t>Суммарное потребление энергоресурсов по Группе "Акрон"</t>
  </si>
  <si>
    <t>Природный газ (только на топливо)</t>
  </si>
  <si>
    <t>Природный газ (весь: сырье и топливо)</t>
  </si>
  <si>
    <t>Raw material and energy consumption by plants of Acron Group (outsourced)</t>
  </si>
  <si>
    <t>Суммарное потребление энергоресурсов по Дорогобужу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</si>
</sst>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_-* #,##0.0_р_._-;\-* #,##0.0_р_._-;_-* &quot;-&quot;??_р_._-;_-@_-"/>
    <numFmt numFmtId="193" formatCode="_-* #,##0_р_._-;\-* #,##0_р_._-;_-* &quot;-&quot;??_р_._-;_-@_-"/>
    <numFmt numFmtId="194" formatCode="_-* #,##0.0\ _₽_-;\-* #,##0.0\ _₽_-;_-* &quot;-&quot;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8000"/>
      <name val="Arial"/>
      <family val="2"/>
    </font>
    <font>
      <sz val="11"/>
      <color rgb="FF800080"/>
      <name val="Arial"/>
      <family val="2"/>
    </font>
    <font>
      <b/>
      <sz val="11"/>
      <color rgb="FF0000FF"/>
      <name val="Arial"/>
      <family val="2"/>
    </font>
    <font>
      <b/>
      <sz val="11"/>
      <color rgb="FF000000"/>
      <name val="Arial"/>
      <family val="2"/>
    </font>
    <font>
      <sz val="11"/>
      <color rgb="FF0000FF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 wrapText="1"/>
    </xf>
    <xf numFmtId="3" fontId="3" fillId="32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9" fontId="4" fillId="0" borderId="0" xfId="57" applyFont="1" applyBorder="1" applyAlignment="1">
      <alignment wrapText="1"/>
    </xf>
    <xf numFmtId="1" fontId="4" fillId="0" borderId="10" xfId="57" applyNumberFormat="1" applyFont="1" applyBorder="1" applyAlignment="1">
      <alignment wrapText="1"/>
    </xf>
    <xf numFmtId="3" fontId="4" fillId="0" borderId="10" xfId="57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1" fontId="4" fillId="0" borderId="10" xfId="57" applyNumberFormat="1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9" fontId="4" fillId="0" borderId="0" xfId="57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4" fillId="0" borderId="0" xfId="57" applyNumberFormat="1" applyFont="1" applyFill="1" applyBorder="1" applyAlignment="1">
      <alignment wrapText="1"/>
    </xf>
    <xf numFmtId="3" fontId="4" fillId="0" borderId="0" xfId="57" applyNumberFormat="1" applyFont="1" applyFill="1" applyBorder="1" applyAlignment="1">
      <alignment wrapText="1"/>
    </xf>
    <xf numFmtId="1" fontId="3" fillId="0" borderId="0" xfId="57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57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9" fontId="4" fillId="0" borderId="11" xfId="57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19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1" fontId="3" fillId="0" borderId="13" xfId="57" applyNumberFormat="1" applyFont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3" fillId="0" borderId="13" xfId="57" applyNumberFormat="1" applyFont="1" applyFill="1" applyBorder="1" applyAlignment="1">
      <alignment wrapText="1"/>
    </xf>
    <xf numFmtId="1" fontId="3" fillId="0" borderId="13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9" fontId="4" fillId="0" borderId="14" xfId="57" applyFont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193" fontId="51" fillId="0" borderId="0" xfId="60" applyNumberFormat="1" applyFont="1" applyBorder="1" applyAlignment="1">
      <alignment/>
    </xf>
    <xf numFmtId="193" fontId="51" fillId="0" borderId="19" xfId="60" applyNumberFormat="1" applyFont="1" applyBorder="1" applyAlignment="1">
      <alignment/>
    </xf>
    <xf numFmtId="193" fontId="51" fillId="0" borderId="11" xfId="60" applyNumberFormat="1" applyFont="1" applyBorder="1" applyAlignment="1">
      <alignment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65" fontId="51" fillId="0" borderId="0" xfId="60" applyNumberFormat="1" applyFont="1" applyBorder="1" applyAlignment="1">
      <alignment/>
    </xf>
    <xf numFmtId="165" fontId="51" fillId="0" borderId="11" xfId="60" applyNumberFormat="1" applyFont="1" applyBorder="1" applyAlignment="1">
      <alignment/>
    </xf>
    <xf numFmtId="0" fontId="51" fillId="0" borderId="0" xfId="0" applyFont="1" applyBorder="1" applyAlignment="1">
      <alignment horizontal="center"/>
    </xf>
    <xf numFmtId="193" fontId="51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2" xfId="0" applyFont="1" applyBorder="1" applyAlignment="1">
      <alignment horizontal="center"/>
    </xf>
    <xf numFmtId="193" fontId="52" fillId="0" borderId="12" xfId="0" applyNumberFormat="1" applyFont="1" applyBorder="1" applyAlignment="1">
      <alignment/>
    </xf>
    <xf numFmtId="193" fontId="52" fillId="0" borderId="13" xfId="0" applyNumberFormat="1" applyFont="1" applyBorder="1" applyAlignment="1">
      <alignment/>
    </xf>
    <xf numFmtId="193" fontId="52" fillId="0" borderId="14" xfId="0" applyNumberFormat="1" applyFont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193" fontId="53" fillId="0" borderId="0" xfId="60" applyNumberFormat="1" applyFont="1" applyBorder="1" applyAlignment="1">
      <alignment/>
    </xf>
    <xf numFmtId="193" fontId="54" fillId="0" borderId="0" xfId="60" applyNumberFormat="1" applyFont="1" applyBorder="1" applyAlignment="1">
      <alignment/>
    </xf>
    <xf numFmtId="193" fontId="54" fillId="0" borderId="19" xfId="60" applyNumberFormat="1" applyFont="1" applyBorder="1" applyAlignment="1">
      <alignment/>
    </xf>
    <xf numFmtId="176" fontId="4" fillId="0" borderId="10" xfId="0" applyNumberFormat="1" applyFont="1" applyFill="1" applyBorder="1" applyAlignment="1">
      <alignment wrapText="1"/>
    </xf>
    <xf numFmtId="185" fontId="4" fillId="0" borderId="10" xfId="0" applyNumberFormat="1" applyFont="1" applyFill="1" applyBorder="1" applyAlignment="1">
      <alignment wrapText="1"/>
    </xf>
    <xf numFmtId="193" fontId="55" fillId="0" borderId="0" xfId="0" applyNumberFormat="1" applyFont="1" applyAlignment="1">
      <alignment/>
    </xf>
    <xf numFmtId="0" fontId="56" fillId="0" borderId="13" xfId="0" applyFont="1" applyFill="1" applyBorder="1" applyAlignment="1">
      <alignment horizontal="center"/>
    </xf>
    <xf numFmtId="193" fontId="57" fillId="0" borderId="12" xfId="0" applyNumberFormat="1" applyFont="1" applyBorder="1" applyAlignment="1">
      <alignment/>
    </xf>
    <xf numFmtId="193" fontId="53" fillId="0" borderId="0" xfId="0" applyNumberFormat="1" applyFont="1" applyBorder="1" applyAlignment="1">
      <alignment horizontal="center"/>
    </xf>
    <xf numFmtId="193" fontId="53" fillId="0" borderId="19" xfId="60" applyNumberFormat="1" applyFont="1" applyBorder="1" applyAlignment="1">
      <alignment/>
    </xf>
    <xf numFmtId="193" fontId="51" fillId="0" borderId="0" xfId="0" applyNumberFormat="1" applyFont="1" applyAlignment="1">
      <alignment/>
    </xf>
    <xf numFmtId="193" fontId="58" fillId="0" borderId="0" xfId="60" applyNumberFormat="1" applyFont="1" applyFill="1" applyBorder="1" applyAlignment="1">
      <alignment/>
    </xf>
    <xf numFmtId="193" fontId="58" fillId="0" borderId="0" xfId="60" applyNumberFormat="1" applyFont="1" applyBorder="1" applyAlignment="1">
      <alignment/>
    </xf>
    <xf numFmtId="1" fontId="58" fillId="0" borderId="0" xfId="0" applyNumberFormat="1" applyFont="1" applyFill="1" applyBorder="1" applyAlignment="1">
      <alignment horizontal="center"/>
    </xf>
    <xf numFmtId="192" fontId="51" fillId="0" borderId="17" xfId="60" applyNumberFormat="1" applyFont="1" applyBorder="1" applyAlignment="1">
      <alignment horizontal="center"/>
    </xf>
    <xf numFmtId="192" fontId="51" fillId="0" borderId="18" xfId="6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9" fontId="4" fillId="0" borderId="0" xfId="57" applyFont="1" applyFill="1" applyBorder="1" applyAlignment="1">
      <alignment wrapText="1"/>
    </xf>
    <xf numFmtId="9" fontId="51" fillId="0" borderId="0" xfId="57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93" fontId="51" fillId="0" borderId="0" xfId="0" applyNumberFormat="1" applyFont="1" applyFill="1" applyAlignment="1">
      <alignment/>
    </xf>
    <xf numFmtId="193" fontId="55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1" fontId="51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142"/>
  <sheetViews>
    <sheetView tabSelected="1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9.8515625" style="2" customWidth="1"/>
    <col min="2" max="2" width="31.140625" style="2" customWidth="1"/>
    <col min="3" max="3" width="23.00390625" style="2" customWidth="1"/>
    <col min="4" max="4" width="24.421875" style="2" customWidth="1"/>
    <col min="5" max="6" width="23.00390625" style="2" customWidth="1"/>
    <col min="7" max="7" width="24.421875" style="2" customWidth="1"/>
    <col min="8" max="9" width="23.00390625" style="2" customWidth="1"/>
    <col min="10" max="10" width="24.421875" style="2" customWidth="1"/>
    <col min="11" max="11" width="23.00390625" style="2" customWidth="1"/>
    <col min="12" max="12" width="23.00390625" style="2" bestFit="1" customWidth="1"/>
    <col min="13" max="13" width="24.421875" style="2" customWidth="1"/>
    <col min="14" max="14" width="23.00390625" style="2" customWidth="1"/>
    <col min="15" max="15" width="23.00390625" style="2" bestFit="1" customWidth="1"/>
    <col min="16" max="16" width="24.421875" style="2" customWidth="1"/>
    <col min="17" max="17" width="23.00390625" style="2" customWidth="1"/>
    <col min="18" max="18" width="23.00390625" style="2" bestFit="1" customWidth="1"/>
    <col min="19" max="19" width="24.421875" style="2" customWidth="1"/>
    <col min="20" max="20" width="23.00390625" style="2" customWidth="1"/>
    <col min="21" max="21" width="22.140625" style="2" customWidth="1"/>
    <col min="22" max="22" width="24.421875" style="2" customWidth="1"/>
    <col min="23" max="23" width="23.00390625" style="2" customWidth="1"/>
    <col min="24" max="24" width="22.140625" style="2" customWidth="1"/>
    <col min="25" max="25" width="24.421875" style="2" customWidth="1"/>
    <col min="26" max="26" width="23.00390625" style="2" customWidth="1"/>
    <col min="27" max="27" width="22.28125" style="2" customWidth="1"/>
    <col min="28" max="28" width="24.57421875" style="2" customWidth="1"/>
    <col min="29" max="29" width="23.00390625" style="2" customWidth="1"/>
    <col min="30" max="30" width="22.28125" style="2" customWidth="1"/>
    <col min="31" max="31" width="24.57421875" style="2" customWidth="1"/>
    <col min="32" max="33" width="23.00390625" style="2" customWidth="1"/>
    <col min="34" max="34" width="21.00390625" style="2" customWidth="1"/>
    <col min="35" max="35" width="19.57421875" style="2" bestFit="1" customWidth="1"/>
    <col min="36" max="36" width="23.00390625" style="2" customWidth="1"/>
    <col min="37" max="37" width="21.00390625" style="2" customWidth="1"/>
    <col min="38" max="38" width="19.57421875" style="2" bestFit="1" customWidth="1"/>
    <col min="39" max="39" width="23.00390625" style="2" customWidth="1"/>
    <col min="40" max="40" width="21.00390625" style="2" customWidth="1"/>
    <col min="41" max="41" width="19.57421875" style="2" customWidth="1"/>
    <col min="42" max="42" width="23.00390625" style="2" customWidth="1"/>
    <col min="43" max="43" width="21.00390625" style="2" customWidth="1"/>
    <col min="44" max="44" width="19.57421875" style="2" customWidth="1"/>
    <col min="45" max="45" width="23.00390625" style="2" customWidth="1"/>
    <col min="46" max="47" width="21.00390625" style="2" customWidth="1"/>
    <col min="48" max="48" width="23.00390625" style="2" customWidth="1"/>
    <col min="49" max="50" width="21.00390625" style="2" customWidth="1"/>
    <col min="51" max="51" width="23.28125" style="2" customWidth="1"/>
    <col min="52" max="52" width="19.8515625" style="2" customWidth="1"/>
    <col min="53" max="53" width="15.140625" style="2" customWidth="1"/>
    <col min="54" max="54" width="23.28125" style="2" customWidth="1"/>
    <col min="55" max="55" width="19.8515625" style="2" customWidth="1"/>
    <col min="56" max="56" width="15.140625" style="2" customWidth="1"/>
    <col min="57" max="57" width="25.28125" style="2" customWidth="1"/>
    <col min="58" max="58" width="19.8515625" style="2" customWidth="1"/>
    <col min="59" max="59" width="15.140625" style="2" customWidth="1"/>
    <col min="60" max="60" width="9.140625" style="2" customWidth="1"/>
    <col min="61" max="61" width="15.8515625" style="2" customWidth="1"/>
    <col min="62" max="16384" width="9.140625" style="2" customWidth="1"/>
  </cols>
  <sheetData>
    <row r="1" ht="15.75">
      <c r="A1" s="62" t="s">
        <v>58</v>
      </c>
    </row>
    <row r="2" ht="15.75">
      <c r="A2" s="62" t="s">
        <v>90</v>
      </c>
    </row>
    <row r="3" ht="14.25"/>
    <row r="4" spans="1:59" ht="15.75">
      <c r="A4" s="19" t="s">
        <v>0</v>
      </c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s="27" customFormat="1" ht="15.75">
      <c r="A5" s="26"/>
      <c r="B5" s="26"/>
      <c r="C5" s="136">
        <v>2023</v>
      </c>
      <c r="D5" s="136"/>
      <c r="E5" s="136"/>
      <c r="F5" s="136">
        <v>2022</v>
      </c>
      <c r="G5" s="136"/>
      <c r="H5" s="136"/>
      <c r="I5" s="136">
        <v>2021</v>
      </c>
      <c r="J5" s="136"/>
      <c r="K5" s="136"/>
      <c r="L5" s="136">
        <v>2020</v>
      </c>
      <c r="M5" s="136"/>
      <c r="N5" s="136"/>
      <c r="O5" s="136">
        <v>2019</v>
      </c>
      <c r="P5" s="136"/>
      <c r="Q5" s="136"/>
      <c r="R5" s="136">
        <v>2018</v>
      </c>
      <c r="S5" s="136"/>
      <c r="T5" s="136"/>
      <c r="U5" s="136">
        <v>2017</v>
      </c>
      <c r="V5" s="136"/>
      <c r="W5" s="136"/>
      <c r="X5" s="136">
        <v>2016</v>
      </c>
      <c r="Y5" s="136"/>
      <c r="Z5" s="136"/>
      <c r="AA5" s="136">
        <v>2015</v>
      </c>
      <c r="AB5" s="136"/>
      <c r="AC5" s="136"/>
      <c r="AD5" s="136">
        <v>2014</v>
      </c>
      <c r="AE5" s="136"/>
      <c r="AF5" s="136"/>
      <c r="AG5" s="136">
        <v>2013</v>
      </c>
      <c r="AH5" s="136"/>
      <c r="AI5" s="136"/>
      <c r="AJ5" s="136">
        <v>2012</v>
      </c>
      <c r="AK5" s="136"/>
      <c r="AL5" s="136"/>
      <c r="AM5" s="136">
        <v>2011</v>
      </c>
      <c r="AN5" s="136"/>
      <c r="AO5" s="136"/>
      <c r="AP5" s="136">
        <v>2010</v>
      </c>
      <c r="AQ5" s="136"/>
      <c r="AR5" s="136"/>
      <c r="AS5" s="138">
        <v>2009</v>
      </c>
      <c r="AT5" s="139"/>
      <c r="AU5" s="140"/>
      <c r="AV5" s="138">
        <v>2008</v>
      </c>
      <c r="AW5" s="139"/>
      <c r="AX5" s="140"/>
      <c r="AY5" s="136">
        <v>2007</v>
      </c>
      <c r="AZ5" s="136"/>
      <c r="BA5" s="136"/>
      <c r="BB5" s="136">
        <v>2006</v>
      </c>
      <c r="BC5" s="136"/>
      <c r="BD5" s="136"/>
      <c r="BE5" s="136">
        <v>2005</v>
      </c>
      <c r="BF5" s="136"/>
      <c r="BG5" s="136"/>
    </row>
    <row r="6" spans="1:59" s="23" customFormat="1" ht="33.75" customHeight="1">
      <c r="A6" s="22"/>
      <c r="B6" s="22"/>
      <c r="C6" s="22" t="s">
        <v>5</v>
      </c>
      <c r="D6" s="22" t="s">
        <v>23</v>
      </c>
      <c r="E6" s="22" t="s">
        <v>26</v>
      </c>
      <c r="F6" s="22" t="s">
        <v>5</v>
      </c>
      <c r="G6" s="22" t="s">
        <v>23</v>
      </c>
      <c r="H6" s="22" t="s">
        <v>26</v>
      </c>
      <c r="I6" s="22" t="s">
        <v>5</v>
      </c>
      <c r="J6" s="22" t="s">
        <v>23</v>
      </c>
      <c r="K6" s="22" t="s">
        <v>26</v>
      </c>
      <c r="L6" s="22" t="s">
        <v>5</v>
      </c>
      <c r="M6" s="22" t="s">
        <v>23</v>
      </c>
      <c r="N6" s="22" t="s">
        <v>26</v>
      </c>
      <c r="O6" s="22" t="s">
        <v>5</v>
      </c>
      <c r="P6" s="22" t="s">
        <v>23</v>
      </c>
      <c r="Q6" s="22" t="s">
        <v>26</v>
      </c>
      <c r="R6" s="22" t="s">
        <v>5</v>
      </c>
      <c r="S6" s="22" t="s">
        <v>23</v>
      </c>
      <c r="T6" s="22" t="s">
        <v>26</v>
      </c>
      <c r="U6" s="22" t="s">
        <v>5</v>
      </c>
      <c r="V6" s="22" t="s">
        <v>23</v>
      </c>
      <c r="W6" s="22" t="s">
        <v>26</v>
      </c>
      <c r="X6" s="22" t="s">
        <v>5</v>
      </c>
      <c r="Y6" s="22" t="s">
        <v>23</v>
      </c>
      <c r="Z6" s="22" t="s">
        <v>26</v>
      </c>
      <c r="AA6" s="22" t="s">
        <v>5</v>
      </c>
      <c r="AB6" s="22" t="s">
        <v>23</v>
      </c>
      <c r="AC6" s="22" t="s">
        <v>26</v>
      </c>
      <c r="AD6" s="22" t="s">
        <v>5</v>
      </c>
      <c r="AE6" s="22" t="s">
        <v>23</v>
      </c>
      <c r="AF6" s="22" t="s">
        <v>26</v>
      </c>
      <c r="AG6" s="22" t="s">
        <v>5</v>
      </c>
      <c r="AH6" s="22" t="s">
        <v>23</v>
      </c>
      <c r="AI6" s="22" t="s">
        <v>26</v>
      </c>
      <c r="AJ6" s="22" t="s">
        <v>5</v>
      </c>
      <c r="AK6" s="22" t="s">
        <v>23</v>
      </c>
      <c r="AL6" s="22" t="s">
        <v>26</v>
      </c>
      <c r="AM6" s="22" t="s">
        <v>5</v>
      </c>
      <c r="AN6" s="22" t="s">
        <v>23</v>
      </c>
      <c r="AO6" s="22" t="s">
        <v>26</v>
      </c>
      <c r="AP6" s="22" t="s">
        <v>5</v>
      </c>
      <c r="AQ6" s="22" t="s">
        <v>23</v>
      </c>
      <c r="AR6" s="22" t="s">
        <v>26</v>
      </c>
      <c r="AS6" s="22" t="s">
        <v>21</v>
      </c>
      <c r="AT6" s="22" t="s">
        <v>22</v>
      </c>
      <c r="AU6" s="22" t="s">
        <v>26</v>
      </c>
      <c r="AV6" s="22" t="s">
        <v>21</v>
      </c>
      <c r="AW6" s="22" t="s">
        <v>22</v>
      </c>
      <c r="AX6" s="22" t="s">
        <v>26</v>
      </c>
      <c r="AY6" s="22" t="s">
        <v>5</v>
      </c>
      <c r="AZ6" s="22" t="s">
        <v>9</v>
      </c>
      <c r="BA6" s="22" t="s">
        <v>7</v>
      </c>
      <c r="BB6" s="22" t="s">
        <v>5</v>
      </c>
      <c r="BC6" s="22" t="s">
        <v>9</v>
      </c>
      <c r="BD6" s="22" t="s">
        <v>7</v>
      </c>
      <c r="BE6" s="22" t="s">
        <v>5</v>
      </c>
      <c r="BF6" s="22" t="s">
        <v>9</v>
      </c>
      <c r="BG6" s="22" t="s">
        <v>7</v>
      </c>
    </row>
    <row r="7" spans="1:59" s="23" customFormat="1" ht="28.5">
      <c r="A7" s="22"/>
      <c r="B7" s="22"/>
      <c r="C7" s="22" t="s">
        <v>20</v>
      </c>
      <c r="D7" s="22" t="s">
        <v>16</v>
      </c>
      <c r="E7" s="22" t="s">
        <v>17</v>
      </c>
      <c r="F7" s="22" t="s">
        <v>20</v>
      </c>
      <c r="G7" s="22" t="s">
        <v>16</v>
      </c>
      <c r="H7" s="22" t="s">
        <v>17</v>
      </c>
      <c r="I7" s="22" t="s">
        <v>20</v>
      </c>
      <c r="J7" s="22" t="s">
        <v>16</v>
      </c>
      <c r="K7" s="22" t="s">
        <v>17</v>
      </c>
      <c r="L7" s="22" t="s">
        <v>20</v>
      </c>
      <c r="M7" s="22" t="s">
        <v>16</v>
      </c>
      <c r="N7" s="22" t="s">
        <v>17</v>
      </c>
      <c r="O7" s="22" t="s">
        <v>20</v>
      </c>
      <c r="P7" s="22" t="s">
        <v>16</v>
      </c>
      <c r="Q7" s="22" t="s">
        <v>17</v>
      </c>
      <c r="R7" s="22" t="s">
        <v>20</v>
      </c>
      <c r="S7" s="22" t="s">
        <v>16</v>
      </c>
      <c r="T7" s="22" t="s">
        <v>17</v>
      </c>
      <c r="U7" s="22" t="s">
        <v>20</v>
      </c>
      <c r="V7" s="22" t="s">
        <v>16</v>
      </c>
      <c r="W7" s="22" t="s">
        <v>17</v>
      </c>
      <c r="X7" s="22" t="s">
        <v>20</v>
      </c>
      <c r="Y7" s="22" t="s">
        <v>16</v>
      </c>
      <c r="Z7" s="22" t="s">
        <v>17</v>
      </c>
      <c r="AA7" s="22" t="s">
        <v>20</v>
      </c>
      <c r="AB7" s="22" t="s">
        <v>16</v>
      </c>
      <c r="AC7" s="22" t="s">
        <v>17</v>
      </c>
      <c r="AD7" s="22" t="s">
        <v>20</v>
      </c>
      <c r="AE7" s="22" t="s">
        <v>16</v>
      </c>
      <c r="AF7" s="22" t="s">
        <v>17</v>
      </c>
      <c r="AG7" s="22" t="s">
        <v>20</v>
      </c>
      <c r="AH7" s="22" t="s">
        <v>16</v>
      </c>
      <c r="AI7" s="22" t="s">
        <v>17</v>
      </c>
      <c r="AJ7" s="22" t="s">
        <v>20</v>
      </c>
      <c r="AK7" s="22" t="s">
        <v>16</v>
      </c>
      <c r="AL7" s="22" t="s">
        <v>17</v>
      </c>
      <c r="AM7" s="22" t="s">
        <v>20</v>
      </c>
      <c r="AN7" s="22" t="s">
        <v>16</v>
      </c>
      <c r="AO7" s="22" t="s">
        <v>17</v>
      </c>
      <c r="AP7" s="22" t="s">
        <v>20</v>
      </c>
      <c r="AQ7" s="22" t="s">
        <v>16</v>
      </c>
      <c r="AR7" s="22" t="s">
        <v>17</v>
      </c>
      <c r="AS7" s="22" t="s">
        <v>20</v>
      </c>
      <c r="AT7" s="22" t="s">
        <v>16</v>
      </c>
      <c r="AU7" s="22" t="s">
        <v>17</v>
      </c>
      <c r="AV7" s="22" t="s">
        <v>20</v>
      </c>
      <c r="AW7" s="22" t="s">
        <v>16</v>
      </c>
      <c r="AX7" s="22" t="s">
        <v>17</v>
      </c>
      <c r="AY7" s="22" t="s">
        <v>15</v>
      </c>
      <c r="AZ7" s="22" t="s">
        <v>16</v>
      </c>
      <c r="BA7" s="22" t="s">
        <v>17</v>
      </c>
      <c r="BB7" s="22" t="s">
        <v>15</v>
      </c>
      <c r="BC7" s="22" t="s">
        <v>16</v>
      </c>
      <c r="BD7" s="22" t="s">
        <v>17</v>
      </c>
      <c r="BE7" s="22" t="s">
        <v>15</v>
      </c>
      <c r="BF7" s="22" t="s">
        <v>16</v>
      </c>
      <c r="BG7" s="22" t="s">
        <v>17</v>
      </c>
    </row>
    <row r="8" spans="1:59" ht="14.25">
      <c r="A8" s="4" t="s">
        <v>1</v>
      </c>
      <c r="B8" s="4" t="s">
        <v>11</v>
      </c>
      <c r="C8" s="64">
        <v>2686.58038</v>
      </c>
      <c r="D8" s="64">
        <f>E8/C8</f>
        <v>5560.974214410067</v>
      </c>
      <c r="E8" s="64">
        <v>14940004.21812</v>
      </c>
      <c r="F8" s="64">
        <v>2585.378648</v>
      </c>
      <c r="G8" s="64">
        <f>H8/F8</f>
        <v>5065.229644966929</v>
      </c>
      <c r="H8" s="64">
        <v>13095536.571314119</v>
      </c>
      <c r="I8" s="64">
        <v>2635.878925</v>
      </c>
      <c r="J8" s="64">
        <f>K8/I8</f>
        <v>4917.7557845772</v>
      </c>
      <c r="K8" s="64">
        <v>12962608.83086388</v>
      </c>
      <c r="L8" s="31">
        <v>2481.14843</v>
      </c>
      <c r="M8" s="31">
        <f>N8/L8</f>
        <v>4808.016120165427</v>
      </c>
      <c r="N8" s="31">
        <v>11929401.647963142</v>
      </c>
      <c r="O8" s="31">
        <v>2617.954563</v>
      </c>
      <c r="P8" s="31">
        <f>Q8/O8</f>
        <v>4737.7622765715505</v>
      </c>
      <c r="Q8" s="31">
        <v>12403246.370359758</v>
      </c>
      <c r="R8" s="31">
        <v>2510.25512</v>
      </c>
      <c r="S8" s="31">
        <f>T8/R8</f>
        <v>4600.856792651737</v>
      </c>
      <c r="T8" s="31">
        <v>11549324.3201408</v>
      </c>
      <c r="U8" s="31">
        <v>2463.433</v>
      </c>
      <c r="V8" s="31">
        <f>W8/U8</f>
        <v>4645.860339822516</v>
      </c>
      <c r="W8" s="31">
        <v>11444765.67451</v>
      </c>
      <c r="X8" s="31">
        <v>2152.487</v>
      </c>
      <c r="Y8" s="31">
        <f>Z8/X8</f>
        <v>4551.614374372528</v>
      </c>
      <c r="Z8" s="31">
        <v>9797290.769849999</v>
      </c>
      <c r="AA8" s="6">
        <v>1462.85</v>
      </c>
      <c r="AB8" s="6">
        <f>AC8/AA8</f>
        <v>4448.398073746454</v>
      </c>
      <c r="AC8" s="6">
        <v>6507339.122180001</v>
      </c>
      <c r="AD8" s="6">
        <v>1578.44</v>
      </c>
      <c r="AE8" s="6">
        <f>AF8/AD8</f>
        <v>4246.0611799244825</v>
      </c>
      <c r="AF8" s="6">
        <v>6702152.808840001</v>
      </c>
      <c r="AG8" s="6">
        <v>1585.863</v>
      </c>
      <c r="AH8" s="6">
        <f>AI8/AG8</f>
        <v>3941.0951639580467</v>
      </c>
      <c r="AI8" s="6">
        <v>6250037</v>
      </c>
      <c r="AJ8" s="6">
        <v>1528.408</v>
      </c>
      <c r="AK8" s="6">
        <f>AL8/AJ8</f>
        <v>3418.4000607167723</v>
      </c>
      <c r="AL8" s="6">
        <v>5224710</v>
      </c>
      <c r="AM8" s="6">
        <v>1468.439</v>
      </c>
      <c r="AN8" s="6">
        <f>AO8/AM8</f>
        <v>3184.6001093678387</v>
      </c>
      <c r="AO8" s="6">
        <v>4676391</v>
      </c>
      <c r="AP8" s="6">
        <v>1473.898</v>
      </c>
      <c r="AQ8" s="6">
        <v>2860.592270028184</v>
      </c>
      <c r="AR8" s="6">
        <v>4216221.22561</v>
      </c>
      <c r="AS8" s="6">
        <v>1452.803</v>
      </c>
      <c r="AT8" s="6">
        <v>2325.3466028635676</v>
      </c>
      <c r="AU8" s="6">
        <v>3378270.52068</v>
      </c>
      <c r="AV8" s="6">
        <v>1438.442</v>
      </c>
      <c r="AW8" s="6">
        <f>AX8/AV8</f>
        <v>2090.090528502366</v>
      </c>
      <c r="AX8" s="6">
        <v>3006474</v>
      </c>
      <c r="AY8" s="8">
        <v>1525.972</v>
      </c>
      <c r="AZ8" s="8">
        <f>BA8/AY8</f>
        <v>1702.8886825549698</v>
      </c>
      <c r="BA8" s="7">
        <v>2598560.4486957723</v>
      </c>
      <c r="BB8" s="5">
        <v>1467.98</v>
      </c>
      <c r="BC8" s="8">
        <f>BD8/BB8</f>
        <v>1328.2090133789286</v>
      </c>
      <c r="BD8" s="7">
        <v>1949784.2674599995</v>
      </c>
      <c r="BE8" s="5">
        <v>1480.466</v>
      </c>
      <c r="BF8" s="8">
        <f>BG8/BE8</f>
        <v>1194.783277603133</v>
      </c>
      <c r="BG8" s="7">
        <v>1768836.01986</v>
      </c>
    </row>
    <row r="9" spans="1:59" ht="14.25">
      <c r="A9" s="4" t="s">
        <v>2</v>
      </c>
      <c r="B9" s="4" t="s">
        <v>12</v>
      </c>
      <c r="C9" s="31">
        <v>1006.338</v>
      </c>
      <c r="D9" s="31">
        <f>E9/C9</f>
        <v>5893.677740391399</v>
      </c>
      <c r="E9" s="31">
        <v>5931031.86991</v>
      </c>
      <c r="F9" s="63">
        <v>876.2133550000001</v>
      </c>
      <c r="G9" s="64">
        <f>H9/F9</f>
        <v>5302.695764321008</v>
      </c>
      <c r="H9" s="64">
        <v>4646292.8462000005</v>
      </c>
      <c r="I9" s="63">
        <v>946.225444</v>
      </c>
      <c r="J9" s="64">
        <f>K9/I9</f>
        <v>5079.776667208286</v>
      </c>
      <c r="K9" s="64">
        <v>4806613.932350001</v>
      </c>
      <c r="L9" s="36">
        <v>910.686376</v>
      </c>
      <c r="M9" s="31">
        <f>N9/L9</f>
        <v>4889.3232877352275</v>
      </c>
      <c r="N9" s="31">
        <v>4452640.106</v>
      </c>
      <c r="O9" s="36">
        <v>731.394275</v>
      </c>
      <c r="P9" s="31">
        <f>Q9/O9</f>
        <v>4791.053271588707</v>
      </c>
      <c r="Q9" s="31">
        <v>3504148.93406</v>
      </c>
      <c r="R9" s="63">
        <v>849.487742</v>
      </c>
      <c r="S9" s="31">
        <f>T9/R9</f>
        <v>4709.947437946667</v>
      </c>
      <c r="T9" s="31">
        <v>4001042.614</v>
      </c>
      <c r="U9" s="8">
        <v>857.081</v>
      </c>
      <c r="V9" s="6">
        <f>W9/U9</f>
        <v>4623.256338735779</v>
      </c>
      <c r="W9" s="31">
        <v>3962505.16606</v>
      </c>
      <c r="X9" s="4">
        <v>825.5</v>
      </c>
      <c r="Y9" s="6">
        <f>Z9/X9</f>
        <v>4644.601817080557</v>
      </c>
      <c r="Z9" s="31">
        <v>3834118.8</v>
      </c>
      <c r="AA9" s="5">
        <v>842.144</v>
      </c>
      <c r="AB9" s="6">
        <f>AC9/AA9</f>
        <v>4528.828797426569</v>
      </c>
      <c r="AC9" s="6">
        <v>3813925.99878</v>
      </c>
      <c r="AD9" s="5">
        <v>751.078</v>
      </c>
      <c r="AE9" s="6">
        <f>AF9/AD9</f>
        <v>4336.021355704734</v>
      </c>
      <c r="AF9" s="6">
        <v>3256690.2477999995</v>
      </c>
      <c r="AG9" s="5">
        <v>848.685</v>
      </c>
      <c r="AH9" s="6">
        <v>4034.2718</v>
      </c>
      <c r="AI9" s="6">
        <f>AG9*AH9</f>
        <v>3423825.962583</v>
      </c>
      <c r="AJ9" s="5">
        <v>760.441</v>
      </c>
      <c r="AK9" s="6">
        <v>3498.031</v>
      </c>
      <c r="AL9" s="6">
        <f>AJ9*AK9</f>
        <v>2660046.191671</v>
      </c>
      <c r="AM9" s="5">
        <v>816.54</v>
      </c>
      <c r="AN9" s="6">
        <v>3273.99</v>
      </c>
      <c r="AO9" s="6">
        <v>2673343.7945999997</v>
      </c>
      <c r="AP9" s="5">
        <v>749.02</v>
      </c>
      <c r="AQ9" s="6">
        <v>2951.45</v>
      </c>
      <c r="AR9" s="6">
        <v>2210695.079</v>
      </c>
      <c r="AS9" s="5">
        <v>795.129</v>
      </c>
      <c r="AT9" s="6">
        <v>2465.164772005549</v>
      </c>
      <c r="AU9" s="6">
        <v>1960124</v>
      </c>
      <c r="AV9" s="5">
        <v>635.039</v>
      </c>
      <c r="AW9" s="6">
        <f>AX9/AV9</f>
        <v>2197.913828914445</v>
      </c>
      <c r="AX9" s="6">
        <v>1395761</v>
      </c>
      <c r="AY9" s="8">
        <v>727.504</v>
      </c>
      <c r="AZ9" s="8">
        <f>BA9/AY9</f>
        <v>1798.3268820515075</v>
      </c>
      <c r="BA9" s="7">
        <v>1308290</v>
      </c>
      <c r="BB9" s="7">
        <v>690.579</v>
      </c>
      <c r="BC9" s="8">
        <f>BD9/BB9</f>
        <v>1417.223807848197</v>
      </c>
      <c r="BD9" s="7">
        <v>978705</v>
      </c>
      <c r="BE9" s="7">
        <v>748.287</v>
      </c>
      <c r="BF9" s="8">
        <f>BG9/BE9</f>
        <v>1239.2624754940282</v>
      </c>
      <c r="BG9" s="7">
        <v>927324</v>
      </c>
    </row>
    <row r="10" spans="1:59" ht="15">
      <c r="A10" s="9" t="s">
        <v>31</v>
      </c>
      <c r="B10" s="9" t="s">
        <v>32</v>
      </c>
      <c r="C10" s="11">
        <f>C8+C9</f>
        <v>3692.91838</v>
      </c>
      <c r="D10" s="11">
        <f>E10/C10</f>
        <v>5651.637523608089</v>
      </c>
      <c r="E10" s="11">
        <f>E8+E9</f>
        <v>20871036.08803</v>
      </c>
      <c r="F10" s="11">
        <f>F8+F9</f>
        <v>3461.5920029999997</v>
      </c>
      <c r="G10" s="11">
        <f>H10/F10</f>
        <v>5125.338110943781</v>
      </c>
      <c r="H10" s="11">
        <f>H8+H9</f>
        <v>17741829.41751412</v>
      </c>
      <c r="I10" s="11">
        <f>I8+I9</f>
        <v>3582.104369</v>
      </c>
      <c r="J10" s="11">
        <f>K10/I10</f>
        <v>4960.554169496305</v>
      </c>
      <c r="K10" s="11">
        <f>K8+K9</f>
        <v>17769222.76321388</v>
      </c>
      <c r="L10" s="11">
        <f>L8+L9</f>
        <v>3391.8348060000003</v>
      </c>
      <c r="M10" s="11">
        <f>N10/L10</f>
        <v>4829.84658479949</v>
      </c>
      <c r="N10" s="11">
        <f>N8+N9</f>
        <v>16382041.753963143</v>
      </c>
      <c r="O10" s="11">
        <f>O8+O9</f>
        <v>3349.348838</v>
      </c>
      <c r="P10" s="11">
        <f>Q10/O10</f>
        <v>4749.399382931566</v>
      </c>
      <c r="Q10" s="11">
        <f>Q8+Q9</f>
        <v>15907395.304419758</v>
      </c>
      <c r="R10" s="11">
        <f>R8+R9</f>
        <v>3359.742862</v>
      </c>
      <c r="S10" s="11">
        <f>T10/R10</f>
        <v>4628.439607691857</v>
      </c>
      <c r="T10" s="11">
        <f>T8+T9</f>
        <v>15550366.9341408</v>
      </c>
      <c r="U10" s="11">
        <f>U8+U9</f>
        <v>3320.514</v>
      </c>
      <c r="V10" s="11">
        <f>W10/U10</f>
        <v>4640.0258636373765</v>
      </c>
      <c r="W10" s="11">
        <f>W8+W9</f>
        <v>15407270.840570001</v>
      </c>
      <c r="X10" s="11">
        <f>X8+X9</f>
        <v>2977.987</v>
      </c>
      <c r="Y10" s="11">
        <f>Z10/X10</f>
        <v>4577.390556053468</v>
      </c>
      <c r="Z10" s="11">
        <f>Z8+Z9</f>
        <v>13631409.569849998</v>
      </c>
      <c r="AA10" s="11">
        <f>AA8+AA9</f>
        <v>2304.9939999999997</v>
      </c>
      <c r="AB10" s="11">
        <f>AC10/AA10</f>
        <v>4477.78394258727</v>
      </c>
      <c r="AC10" s="11">
        <f>AC8+AC9</f>
        <v>10321265.12096</v>
      </c>
      <c r="AD10" s="11">
        <f>AD8+AD9</f>
        <v>2329.518</v>
      </c>
      <c r="AE10" s="11">
        <f>AF10/AD10</f>
        <v>4275.065939237216</v>
      </c>
      <c r="AF10" s="11">
        <f>AF8+AF9</f>
        <v>9958843.056640001</v>
      </c>
      <c r="AG10" s="11">
        <f>AG8+AG9</f>
        <v>2434.548</v>
      </c>
      <c r="AH10" s="11">
        <f>AI10/AG10</f>
        <v>3973.57659926319</v>
      </c>
      <c r="AI10" s="11">
        <f>AI8+AI9</f>
        <v>9673862.962583</v>
      </c>
      <c r="AJ10" s="11">
        <f>AJ8+AJ9</f>
        <v>2288.849</v>
      </c>
      <c r="AK10" s="11">
        <f>AL10/AJ10</f>
        <v>3444.856428567808</v>
      </c>
      <c r="AL10" s="11">
        <f>AL8+AL9</f>
        <v>7884756.191671</v>
      </c>
      <c r="AM10" s="11">
        <v>2284.9790000000003</v>
      </c>
      <c r="AN10" s="11">
        <v>3216.558272281714</v>
      </c>
      <c r="AO10" s="11">
        <v>7349768.104439999</v>
      </c>
      <c r="AP10" s="11">
        <v>2222.9179999999997</v>
      </c>
      <c r="AQ10" s="11">
        <v>2891.2071001314494</v>
      </c>
      <c r="AR10" s="11">
        <v>6426916.30461</v>
      </c>
      <c r="AS10" s="11">
        <v>2247.9320000000002</v>
      </c>
      <c r="AT10" s="11">
        <v>2374.8024943281202</v>
      </c>
      <c r="AU10" s="11">
        <v>5338394.52068</v>
      </c>
      <c r="AV10" s="11">
        <f>AV8+AV9</f>
        <v>2073.4809999999998</v>
      </c>
      <c r="AW10" s="11">
        <f>AX10/AV10</f>
        <v>2123.1132573676828</v>
      </c>
      <c r="AX10" s="11">
        <f>AX8+AX9</f>
        <v>4402235</v>
      </c>
      <c r="AY10" s="10">
        <f>AY8+AY9</f>
        <v>2253.476</v>
      </c>
      <c r="AZ10" s="10">
        <f>BA10/AY10</f>
        <v>1733.699603943318</v>
      </c>
      <c r="BA10" s="11">
        <f>BA8+BA9</f>
        <v>3906850.4486957723</v>
      </c>
      <c r="BB10" s="10">
        <f>BB8+BB9</f>
        <v>2158.559</v>
      </c>
      <c r="BC10" s="10">
        <f>BD10/BB10</f>
        <v>1356.6871544674013</v>
      </c>
      <c r="BD10" s="11">
        <f>BD8+BD9</f>
        <v>2928489.26746</v>
      </c>
      <c r="BE10" s="10">
        <f>BE8+BE9</f>
        <v>2228.7529999999997</v>
      </c>
      <c r="BF10" s="10">
        <f>BG10/BE10</f>
        <v>1209.7168326234446</v>
      </c>
      <c r="BG10" s="11">
        <f>BG8+BG9</f>
        <v>2696160.01986</v>
      </c>
    </row>
    <row r="11" spans="1:59" ht="14.25">
      <c r="A11" s="12"/>
      <c r="B11" s="12"/>
      <c r="C11" s="13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13"/>
      <c r="BE11" s="3"/>
      <c r="BF11" s="3"/>
      <c r="BG11" s="13"/>
    </row>
    <row r="12" spans="1:59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4.25">
      <c r="A13" s="3"/>
      <c r="B13" s="3"/>
      <c r="C13" s="3"/>
      <c r="D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5.75">
      <c r="A14" s="19" t="s">
        <v>4</v>
      </c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7" customFormat="1" ht="15">
      <c r="A15" s="28"/>
      <c r="B15" s="28"/>
      <c r="C15" s="136">
        <f>C5</f>
        <v>2023</v>
      </c>
      <c r="D15" s="136"/>
      <c r="E15" s="136"/>
      <c r="F15" s="136">
        <f>F5</f>
        <v>2022</v>
      </c>
      <c r="G15" s="136"/>
      <c r="H15" s="136"/>
      <c r="I15" s="136">
        <v>2021</v>
      </c>
      <c r="J15" s="136"/>
      <c r="K15" s="136"/>
      <c r="L15" s="136">
        <f>L5</f>
        <v>2020</v>
      </c>
      <c r="M15" s="136"/>
      <c r="N15" s="136"/>
      <c r="O15" s="136">
        <f>O5</f>
        <v>2019</v>
      </c>
      <c r="P15" s="136"/>
      <c r="Q15" s="136"/>
      <c r="R15" s="136">
        <f>R5</f>
        <v>2018</v>
      </c>
      <c r="S15" s="136"/>
      <c r="T15" s="136"/>
      <c r="U15" s="136">
        <f>U5</f>
        <v>2017</v>
      </c>
      <c r="V15" s="136"/>
      <c r="W15" s="136"/>
      <c r="X15" s="136">
        <f>X5</f>
        <v>2016</v>
      </c>
      <c r="Y15" s="136"/>
      <c r="Z15" s="136"/>
      <c r="AA15" s="136">
        <f>AA5</f>
        <v>2015</v>
      </c>
      <c r="AB15" s="136"/>
      <c r="AC15" s="136"/>
      <c r="AD15" s="136">
        <f>AD5</f>
        <v>2014</v>
      </c>
      <c r="AE15" s="136"/>
      <c r="AF15" s="136"/>
      <c r="AG15" s="136">
        <v>2013</v>
      </c>
      <c r="AH15" s="136"/>
      <c r="AI15" s="136"/>
      <c r="AJ15" s="136">
        <v>2012</v>
      </c>
      <c r="AK15" s="136"/>
      <c r="AL15" s="136"/>
      <c r="AM15" s="136">
        <f>AM5</f>
        <v>2011</v>
      </c>
      <c r="AN15" s="136"/>
      <c r="AO15" s="136"/>
      <c r="AP15" s="136">
        <v>2010</v>
      </c>
      <c r="AQ15" s="136"/>
      <c r="AR15" s="136"/>
      <c r="AS15" s="138">
        <v>2009</v>
      </c>
      <c r="AT15" s="139"/>
      <c r="AU15" s="140"/>
      <c r="AV15" s="138">
        <v>2008</v>
      </c>
      <c r="AW15" s="139"/>
      <c r="AX15" s="140"/>
      <c r="AY15" s="136">
        <v>2007</v>
      </c>
      <c r="AZ15" s="136"/>
      <c r="BA15" s="136"/>
      <c r="BB15" s="136">
        <v>2006</v>
      </c>
      <c r="BC15" s="136"/>
      <c r="BD15" s="136"/>
      <c r="BE15" s="136">
        <v>2005</v>
      </c>
      <c r="BF15" s="136"/>
      <c r="BG15" s="136"/>
    </row>
    <row r="16" spans="1:59" s="24" customFormat="1" ht="33.75" customHeight="1">
      <c r="A16" s="22"/>
      <c r="B16" s="22"/>
      <c r="C16" s="33" t="s">
        <v>71</v>
      </c>
      <c r="D16" s="33" t="s">
        <v>69</v>
      </c>
      <c r="E16" s="22" t="s">
        <v>26</v>
      </c>
      <c r="F16" s="33" t="s">
        <v>71</v>
      </c>
      <c r="G16" s="33" t="s">
        <v>69</v>
      </c>
      <c r="H16" s="22" t="s">
        <v>26</v>
      </c>
      <c r="I16" s="33" t="s">
        <v>71</v>
      </c>
      <c r="J16" s="33" t="s">
        <v>69</v>
      </c>
      <c r="K16" s="22" t="s">
        <v>26</v>
      </c>
      <c r="L16" s="33" t="s">
        <v>71</v>
      </c>
      <c r="M16" s="33" t="s">
        <v>69</v>
      </c>
      <c r="N16" s="22" t="s">
        <v>26</v>
      </c>
      <c r="O16" s="33" t="s">
        <v>71</v>
      </c>
      <c r="P16" s="33" t="s">
        <v>69</v>
      </c>
      <c r="Q16" s="22" t="s">
        <v>26</v>
      </c>
      <c r="R16" s="33" t="s">
        <v>71</v>
      </c>
      <c r="S16" s="33" t="s">
        <v>69</v>
      </c>
      <c r="T16" s="22" t="s">
        <v>26</v>
      </c>
      <c r="U16" s="33" t="s">
        <v>71</v>
      </c>
      <c r="V16" s="33" t="s">
        <v>69</v>
      </c>
      <c r="W16" s="22" t="s">
        <v>26</v>
      </c>
      <c r="X16" s="33" t="s">
        <v>71</v>
      </c>
      <c r="Y16" s="33" t="s">
        <v>69</v>
      </c>
      <c r="Z16" s="22" t="s">
        <v>26</v>
      </c>
      <c r="AA16" s="33" t="s">
        <v>71</v>
      </c>
      <c r="AB16" s="33" t="s">
        <v>69</v>
      </c>
      <c r="AC16" s="22" t="s">
        <v>26</v>
      </c>
      <c r="AD16" s="33" t="s">
        <v>71</v>
      </c>
      <c r="AE16" s="33" t="s">
        <v>69</v>
      </c>
      <c r="AF16" s="22" t="s">
        <v>26</v>
      </c>
      <c r="AG16" s="33" t="s">
        <v>71</v>
      </c>
      <c r="AH16" s="33" t="s">
        <v>69</v>
      </c>
      <c r="AI16" s="22" t="s">
        <v>26</v>
      </c>
      <c r="AJ16" s="33" t="s">
        <v>71</v>
      </c>
      <c r="AK16" s="33" t="s">
        <v>69</v>
      </c>
      <c r="AL16" s="22" t="s">
        <v>26</v>
      </c>
      <c r="AM16" s="33" t="s">
        <v>71</v>
      </c>
      <c r="AN16" s="33" t="s">
        <v>69</v>
      </c>
      <c r="AO16" s="22" t="s">
        <v>26</v>
      </c>
      <c r="AP16" s="33" t="s">
        <v>71</v>
      </c>
      <c r="AQ16" s="33" t="s">
        <v>69</v>
      </c>
      <c r="AR16" s="22" t="s">
        <v>26</v>
      </c>
      <c r="AS16" s="33" t="s">
        <v>71</v>
      </c>
      <c r="AT16" s="33" t="s">
        <v>69</v>
      </c>
      <c r="AU16" s="22" t="s">
        <v>26</v>
      </c>
      <c r="AV16" s="33" t="s">
        <v>71</v>
      </c>
      <c r="AW16" s="33" t="s">
        <v>69</v>
      </c>
      <c r="AX16" s="22" t="s">
        <v>26</v>
      </c>
      <c r="AY16" s="33" t="s">
        <v>71</v>
      </c>
      <c r="AZ16" s="33" t="s">
        <v>69</v>
      </c>
      <c r="BA16" s="22" t="s">
        <v>7</v>
      </c>
      <c r="BB16" s="33" t="s">
        <v>71</v>
      </c>
      <c r="BC16" s="33" t="s">
        <v>69</v>
      </c>
      <c r="BD16" s="22" t="s">
        <v>7</v>
      </c>
      <c r="BE16" s="33" t="s">
        <v>71</v>
      </c>
      <c r="BF16" s="33" t="s">
        <v>69</v>
      </c>
      <c r="BG16" s="22" t="s">
        <v>7</v>
      </c>
    </row>
    <row r="17" spans="1:59" s="24" customFormat="1" ht="28.5">
      <c r="A17" s="22"/>
      <c r="B17" s="22"/>
      <c r="C17" s="33" t="s">
        <v>70</v>
      </c>
      <c r="D17" s="33" t="s">
        <v>68</v>
      </c>
      <c r="E17" s="22" t="s">
        <v>17</v>
      </c>
      <c r="F17" s="33" t="s">
        <v>70</v>
      </c>
      <c r="G17" s="33" t="s">
        <v>68</v>
      </c>
      <c r="H17" s="22" t="s">
        <v>17</v>
      </c>
      <c r="I17" s="33" t="s">
        <v>70</v>
      </c>
      <c r="J17" s="33" t="s">
        <v>68</v>
      </c>
      <c r="K17" s="22" t="s">
        <v>17</v>
      </c>
      <c r="L17" s="33" t="s">
        <v>70</v>
      </c>
      <c r="M17" s="33" t="s">
        <v>68</v>
      </c>
      <c r="N17" s="22" t="s">
        <v>17</v>
      </c>
      <c r="O17" s="33" t="s">
        <v>70</v>
      </c>
      <c r="P17" s="33" t="s">
        <v>68</v>
      </c>
      <c r="Q17" s="22" t="s">
        <v>17</v>
      </c>
      <c r="R17" s="33" t="s">
        <v>70</v>
      </c>
      <c r="S17" s="33" t="s">
        <v>68</v>
      </c>
      <c r="T17" s="22" t="s">
        <v>17</v>
      </c>
      <c r="U17" s="33" t="s">
        <v>70</v>
      </c>
      <c r="V17" s="33" t="s">
        <v>68</v>
      </c>
      <c r="W17" s="22" t="s">
        <v>17</v>
      </c>
      <c r="X17" s="33" t="s">
        <v>70</v>
      </c>
      <c r="Y17" s="33" t="s">
        <v>68</v>
      </c>
      <c r="Z17" s="22" t="s">
        <v>17</v>
      </c>
      <c r="AA17" s="33" t="s">
        <v>70</v>
      </c>
      <c r="AB17" s="33" t="s">
        <v>68</v>
      </c>
      <c r="AC17" s="22" t="s">
        <v>17</v>
      </c>
      <c r="AD17" s="33" t="s">
        <v>70</v>
      </c>
      <c r="AE17" s="33" t="s">
        <v>68</v>
      </c>
      <c r="AF17" s="22" t="s">
        <v>17</v>
      </c>
      <c r="AG17" s="33" t="s">
        <v>70</v>
      </c>
      <c r="AH17" s="33" t="s">
        <v>68</v>
      </c>
      <c r="AI17" s="22" t="s">
        <v>17</v>
      </c>
      <c r="AJ17" s="33" t="s">
        <v>70</v>
      </c>
      <c r="AK17" s="33" t="s">
        <v>68</v>
      </c>
      <c r="AL17" s="22" t="s">
        <v>17</v>
      </c>
      <c r="AM17" s="33" t="s">
        <v>70</v>
      </c>
      <c r="AN17" s="33" t="s">
        <v>68</v>
      </c>
      <c r="AO17" s="22" t="s">
        <v>17</v>
      </c>
      <c r="AP17" s="33" t="s">
        <v>70</v>
      </c>
      <c r="AQ17" s="33" t="s">
        <v>68</v>
      </c>
      <c r="AR17" s="22" t="s">
        <v>17</v>
      </c>
      <c r="AS17" s="33" t="s">
        <v>70</v>
      </c>
      <c r="AT17" s="33" t="s">
        <v>68</v>
      </c>
      <c r="AU17" s="22" t="s">
        <v>17</v>
      </c>
      <c r="AV17" s="33" t="s">
        <v>70</v>
      </c>
      <c r="AW17" s="33" t="s">
        <v>68</v>
      </c>
      <c r="AX17" s="22" t="s">
        <v>17</v>
      </c>
      <c r="AY17" s="33" t="s">
        <v>70</v>
      </c>
      <c r="AZ17" s="33" t="s">
        <v>68</v>
      </c>
      <c r="BA17" s="22" t="s">
        <v>17</v>
      </c>
      <c r="BB17" s="33" t="s">
        <v>70</v>
      </c>
      <c r="BC17" s="33" t="s">
        <v>68</v>
      </c>
      <c r="BD17" s="22" t="s">
        <v>17</v>
      </c>
      <c r="BE17" s="33" t="s">
        <v>70</v>
      </c>
      <c r="BF17" s="33" t="s">
        <v>68</v>
      </c>
      <c r="BG17" s="22" t="s">
        <v>17</v>
      </c>
    </row>
    <row r="18" spans="1:59" ht="14.25">
      <c r="A18" s="4" t="s">
        <v>1</v>
      </c>
      <c r="B18" s="4" t="s">
        <v>11</v>
      </c>
      <c r="C18" s="64">
        <v>1301.251468</v>
      </c>
      <c r="D18" s="64">
        <f>E18/C18</f>
        <v>4326.930215574596</v>
      </c>
      <c r="E18" s="64">
        <v>5630424.294949999</v>
      </c>
      <c r="F18" s="64">
        <v>1322.7526619999999</v>
      </c>
      <c r="G18" s="64">
        <f>H18/F18</f>
        <v>3870.84698735613</v>
      </c>
      <c r="H18" s="64">
        <v>5120173.15672</v>
      </c>
      <c r="I18" s="64">
        <v>1285.50214</v>
      </c>
      <c r="J18" s="64">
        <f>K18/I18</f>
        <v>3841.0590899055214</v>
      </c>
      <c r="K18" s="64">
        <v>4937689.67994</v>
      </c>
      <c r="L18" s="31">
        <v>1113.427788</v>
      </c>
      <c r="M18" s="31">
        <f>N18/L18</f>
        <v>3746.465267265272</v>
      </c>
      <c r="N18" s="31">
        <v>4171418.5353500005</v>
      </c>
      <c r="O18" s="31">
        <v>1047.874606</v>
      </c>
      <c r="P18" s="31">
        <f>Q18/O18</f>
        <v>3779.6549184690007</v>
      </c>
      <c r="Q18" s="31">
        <v>3960604.4085066663</v>
      </c>
      <c r="R18" s="31">
        <v>986.449702</v>
      </c>
      <c r="S18" s="31">
        <f>T18/R18</f>
        <v>3491.5150998074496</v>
      </c>
      <c r="T18" s="31">
        <v>3444204.029733559</v>
      </c>
      <c r="U18" s="31">
        <v>1015.732631</v>
      </c>
      <c r="V18" s="31">
        <f>W18/U18</f>
        <v>3349.087047934243</v>
      </c>
      <c r="W18" s="31">
        <v>3401776.9986462714</v>
      </c>
      <c r="X18" s="31">
        <v>965.1859549999999</v>
      </c>
      <c r="Y18" s="31">
        <f>Z18/X18</f>
        <v>2973.238202497466</v>
      </c>
      <c r="Z18" s="31">
        <v>2869727.7539199996</v>
      </c>
      <c r="AA18" s="6">
        <v>795.2076579999999</v>
      </c>
      <c r="AB18" s="6">
        <f>AC18/AA18</f>
        <v>2728.702819018878</v>
      </c>
      <c r="AC18" s="6">
        <v>2169885.37809</v>
      </c>
      <c r="AD18" s="6">
        <v>779.4173385</v>
      </c>
      <c r="AE18" s="6">
        <f>AF18/AD18</f>
        <v>2625.7390600889235</v>
      </c>
      <c r="AF18" s="6">
        <v>2046546.5498100002</v>
      </c>
      <c r="AG18" s="6">
        <v>788.466</v>
      </c>
      <c r="AH18" s="6">
        <f>AI18/AG18</f>
        <v>2530.2004144757034</v>
      </c>
      <c r="AI18" s="6">
        <v>1994977</v>
      </c>
      <c r="AJ18" s="6">
        <v>781.995476</v>
      </c>
      <c r="AK18" s="6">
        <f>AL18/AJ18</f>
        <v>2269.8980422234563</v>
      </c>
      <c r="AL18" s="6">
        <v>1775050</v>
      </c>
      <c r="AM18" s="6">
        <v>771.146044</v>
      </c>
      <c r="AN18" s="6">
        <f>AO18/AM18</f>
        <v>2351.099398235388</v>
      </c>
      <c r="AO18" s="6">
        <v>1813041</v>
      </c>
      <c r="AP18" s="6">
        <v>768.381161</v>
      </c>
      <c r="AQ18" s="6">
        <v>2045.8780051610347</v>
      </c>
      <c r="AR18" s="6">
        <v>1572014.1168699998</v>
      </c>
      <c r="AS18" s="6">
        <v>749.579044</v>
      </c>
      <c r="AT18" s="6">
        <v>1720.5220854600093</v>
      </c>
      <c r="AU18" s="6">
        <v>1289667.3</v>
      </c>
      <c r="AV18" s="6">
        <v>758.966856</v>
      </c>
      <c r="AW18" s="6">
        <f>AX18/AV18</f>
        <v>1388.3475828620374</v>
      </c>
      <c r="AX18" s="6">
        <v>1053709.8</v>
      </c>
      <c r="AY18" s="5">
        <v>763.929155</v>
      </c>
      <c r="AZ18" s="5">
        <f>BA18/AY18</f>
        <v>1142.3003180092007</v>
      </c>
      <c r="BA18" s="6">
        <v>872636.516693</v>
      </c>
      <c r="BB18" s="5">
        <v>755.065508</v>
      </c>
      <c r="BC18" s="5">
        <f>BD18/BB18</f>
        <v>1056.095743309361</v>
      </c>
      <c r="BD18" s="6">
        <v>797421.4689185203</v>
      </c>
      <c r="BE18" s="5">
        <v>760.237204</v>
      </c>
      <c r="BF18" s="5">
        <f>BG18/BE18</f>
        <v>1019.8286627393204</v>
      </c>
      <c r="BG18" s="6">
        <v>775311.69112</v>
      </c>
    </row>
    <row r="19" spans="1:59" ht="14.25">
      <c r="A19" s="4" t="s">
        <v>2</v>
      </c>
      <c r="B19" s="4" t="s">
        <v>12</v>
      </c>
      <c r="C19" s="31">
        <v>310.890596</v>
      </c>
      <c r="D19" s="31">
        <f>E19/C19</f>
        <v>4784.184284884791</v>
      </c>
      <c r="E19" s="31">
        <v>1487357.9037016665</v>
      </c>
      <c r="F19" s="64">
        <v>289.4656</v>
      </c>
      <c r="G19" s="64">
        <f>H19/F19</f>
        <v>4480.99626606754</v>
      </c>
      <c r="H19" s="64">
        <v>1297094.272755</v>
      </c>
      <c r="I19" s="64">
        <v>284.049843</v>
      </c>
      <c r="J19" s="64">
        <f>K19/I19</f>
        <v>4314.658061770765</v>
      </c>
      <c r="K19" s="64">
        <v>1225577.94504467</v>
      </c>
      <c r="L19" s="36">
        <v>280.868314</v>
      </c>
      <c r="M19" s="31">
        <f>N19/L19</f>
        <v>4149.321730763121</v>
      </c>
      <c r="N19" s="31">
        <v>1165412.998763</v>
      </c>
      <c r="O19" s="36">
        <v>249.767839</v>
      </c>
      <c r="P19" s="31">
        <f>Q19/O19</f>
        <v>4257.950787419032</v>
      </c>
      <c r="Q19" s="31">
        <v>1063499.166742</v>
      </c>
      <c r="R19" s="63">
        <v>262.942595</v>
      </c>
      <c r="S19" s="31">
        <f>T19/R19</f>
        <v>3917.7802559908564</v>
      </c>
      <c r="T19" s="31">
        <v>1030151.30715</v>
      </c>
      <c r="U19" s="8">
        <v>264.655019</v>
      </c>
      <c r="V19" s="6">
        <f>W19/U19</f>
        <v>3640.0401555959156</v>
      </c>
      <c r="W19" s="31">
        <v>963354.89654</v>
      </c>
      <c r="X19" s="4">
        <v>268.8</v>
      </c>
      <c r="Y19" s="6">
        <f>Z19/X19</f>
        <v>3235.1741071428573</v>
      </c>
      <c r="Z19" s="31">
        <v>869614.8</v>
      </c>
      <c r="AA19" s="5">
        <v>295.890965</v>
      </c>
      <c r="AB19" s="6">
        <f>AC19/AA19</f>
        <v>2952.7282389308507</v>
      </c>
      <c r="AC19" s="6">
        <v>873685.608</v>
      </c>
      <c r="AD19" s="5">
        <v>269.982084</v>
      </c>
      <c r="AE19" s="6">
        <f>AF19/AD19</f>
        <v>2865.0177856986984</v>
      </c>
      <c r="AF19" s="6">
        <v>773503.47248</v>
      </c>
      <c r="AG19" s="5">
        <v>295.445</v>
      </c>
      <c r="AH19" s="6">
        <v>2622.41</v>
      </c>
      <c r="AI19" s="6">
        <f>AG19*AH19</f>
        <v>774777.92245</v>
      </c>
      <c r="AJ19" s="5">
        <v>273.058</v>
      </c>
      <c r="AK19" s="6">
        <v>2282.35</v>
      </c>
      <c r="AL19" s="6">
        <f>AJ19*AK19</f>
        <v>623213.9262999999</v>
      </c>
      <c r="AM19" s="5">
        <v>293.263</v>
      </c>
      <c r="AN19" s="6">
        <v>2354</v>
      </c>
      <c r="AO19" s="6">
        <v>690341.102</v>
      </c>
      <c r="AP19" s="5">
        <v>274.209</v>
      </c>
      <c r="AQ19" s="6">
        <v>2166</v>
      </c>
      <c r="AR19" s="6">
        <v>593936.694</v>
      </c>
      <c r="AS19" s="5">
        <v>295.181</v>
      </c>
      <c r="AT19" s="6">
        <v>1773.5145927414028</v>
      </c>
      <c r="AU19" s="6">
        <v>523507.811</v>
      </c>
      <c r="AV19" s="5">
        <v>266.257</v>
      </c>
      <c r="AW19" s="6">
        <f>AX19/AV19</f>
        <v>1493.0350788899445</v>
      </c>
      <c r="AX19" s="6">
        <f>183257.521+214273.52</f>
        <v>397531.04099999997</v>
      </c>
      <c r="AY19" s="8">
        <v>306.265</v>
      </c>
      <c r="AZ19" s="8">
        <f>BA19/AY19</f>
        <v>1409.6653225148157</v>
      </c>
      <c r="BA19" s="7">
        <v>431731.15</v>
      </c>
      <c r="BB19" s="7">
        <v>310.533</v>
      </c>
      <c r="BC19" s="8">
        <f>BD19/BB19</f>
        <v>1320.4034740269149</v>
      </c>
      <c r="BD19" s="7">
        <f>350948.807+59080.045</f>
        <v>410028.85199999996</v>
      </c>
      <c r="BE19" s="7">
        <v>318.331</v>
      </c>
      <c r="BF19" s="8">
        <f>BG19/BE19</f>
        <v>1038.4175025366678</v>
      </c>
      <c r="BG19" s="7">
        <f>292140.205+38420.277</f>
        <v>330560.482</v>
      </c>
    </row>
    <row r="20" spans="1:59" ht="14.25">
      <c r="A20" s="56" t="s">
        <v>37</v>
      </c>
      <c r="B20" s="56" t="s">
        <v>38</v>
      </c>
      <c r="C20" s="36">
        <v>219.1076839</v>
      </c>
      <c r="D20" s="31">
        <f>E20/C20</f>
        <v>2898.6569010051953</v>
      </c>
      <c r="E20" s="31">
        <v>635118</v>
      </c>
      <c r="F20" s="63">
        <v>216.048501</v>
      </c>
      <c r="G20" s="64">
        <f>H20/F20</f>
        <v>2714.703725484307</v>
      </c>
      <c r="H20" s="64">
        <v>586507.67055</v>
      </c>
      <c r="I20" s="63">
        <v>209.627386</v>
      </c>
      <c r="J20" s="64">
        <f>K20/I20</f>
        <v>2709.2765227726495</v>
      </c>
      <c r="K20" s="64">
        <v>567938.55542</v>
      </c>
      <c r="L20" s="36">
        <v>202.639707</v>
      </c>
      <c r="M20" s="31">
        <f>N20/L20</f>
        <v>2687.131016430062</v>
      </c>
      <c r="N20" s="31">
        <v>544519.44184</v>
      </c>
      <c r="O20" s="36">
        <v>191.125316</v>
      </c>
      <c r="P20" s="31">
        <f>Q20/O20</f>
        <v>2724.8958311205615</v>
      </c>
      <c r="Q20" s="31">
        <v>520796.57678999996</v>
      </c>
      <c r="R20" s="5">
        <v>187.114804</v>
      </c>
      <c r="S20" s="31">
        <f>T20/R20</f>
        <v>2400.7562201224873</v>
      </c>
      <c r="T20" s="31">
        <v>449217.02958000003</v>
      </c>
      <c r="U20" s="5">
        <v>174.247615</v>
      </c>
      <c r="V20" s="6">
        <f>W20/U20</f>
        <v>2350.9935392802936</v>
      </c>
      <c r="W20" s="31">
        <v>409655.0171</v>
      </c>
      <c r="X20" s="8">
        <v>173.65782768</v>
      </c>
      <c r="Y20" s="6">
        <f>Z20/X20</f>
        <v>2022.7371028000873</v>
      </c>
      <c r="Z20" s="31">
        <v>351264.13124</v>
      </c>
      <c r="AA20" s="6">
        <v>166.85426168</v>
      </c>
      <c r="AB20" s="6">
        <f>AC20/AA20</f>
        <v>1826.9326277360444</v>
      </c>
      <c r="AC20" s="6">
        <v>304831.49474</v>
      </c>
      <c r="AD20" s="6">
        <v>133.642</v>
      </c>
      <c r="AE20" s="6">
        <f>AF20/AD20</f>
        <v>1794.585534487661</v>
      </c>
      <c r="AF20" s="6">
        <v>239832</v>
      </c>
      <c r="AG20" s="6">
        <v>95.765</v>
      </c>
      <c r="AH20" s="6">
        <f>AI20/AG20</f>
        <v>1980.663822899807</v>
      </c>
      <c r="AI20" s="6">
        <v>189678.271</v>
      </c>
      <c r="AJ20" s="5"/>
      <c r="AK20" s="6"/>
      <c r="AL20" s="6"/>
      <c r="AM20" s="5"/>
      <c r="AN20" s="6"/>
      <c r="AO20" s="6"/>
      <c r="AP20" s="5"/>
      <c r="AQ20" s="6"/>
      <c r="AR20" s="6"/>
      <c r="AS20" s="5"/>
      <c r="AT20" s="6"/>
      <c r="AU20" s="6"/>
      <c r="AV20" s="5"/>
      <c r="AW20" s="6"/>
      <c r="AX20" s="6"/>
      <c r="AY20" s="8"/>
      <c r="AZ20" s="8"/>
      <c r="BA20" s="7"/>
      <c r="BB20" s="7"/>
      <c r="BC20" s="8"/>
      <c r="BD20" s="7"/>
      <c r="BE20" s="7"/>
      <c r="BF20" s="8"/>
      <c r="BG20" s="7"/>
    </row>
    <row r="21" spans="1:59" ht="15">
      <c r="A21" s="9" t="s">
        <v>61</v>
      </c>
      <c r="B21" s="9" t="s">
        <v>62</v>
      </c>
      <c r="C21" s="11">
        <f>SUM(C18:C20)</f>
        <v>1831.2497478999999</v>
      </c>
      <c r="D21" s="11">
        <f>E21/C21</f>
        <v>4233.666220318864</v>
      </c>
      <c r="E21" s="11">
        <f>SUM(E18:E20)</f>
        <v>7752900.198651666</v>
      </c>
      <c r="F21" s="11">
        <f>SUM(F18:F20)</f>
        <v>1828.2667629999999</v>
      </c>
      <c r="G21" s="11">
        <f>H21/F21</f>
        <v>3830.8277773056034</v>
      </c>
      <c r="H21" s="11">
        <f>SUM(H18:H20)</f>
        <v>7003775.100025</v>
      </c>
      <c r="I21" s="11">
        <f>SUM(I18:I20)</f>
        <v>1779.179369</v>
      </c>
      <c r="J21" s="11">
        <f>K21/I21</f>
        <v>3783.320725098106</v>
      </c>
      <c r="K21" s="11">
        <f>SUM(K18:K20)</f>
        <v>6731206.180404671</v>
      </c>
      <c r="L21" s="11">
        <f>SUM(L18:L20)</f>
        <v>1596.935809</v>
      </c>
      <c r="M21" s="11">
        <f>N21/L21</f>
        <v>3682.897548421747</v>
      </c>
      <c r="N21" s="11">
        <f>SUM(N18:N20)</f>
        <v>5881350.975953</v>
      </c>
      <c r="O21" s="11">
        <f>SUM(O18:O20)</f>
        <v>1488.767761</v>
      </c>
      <c r="P21" s="11">
        <f>Q21/O21</f>
        <v>3724.4896734694044</v>
      </c>
      <c r="Q21" s="11">
        <f>SUM(Q18:Q20)</f>
        <v>5544900.152038666</v>
      </c>
      <c r="R21" s="11">
        <f>SUM(R18:R20)</f>
        <v>1436.507101</v>
      </c>
      <c r="S21" s="11">
        <f>T21/R21</f>
        <v>3427.4612099279548</v>
      </c>
      <c r="T21" s="11">
        <f>SUM(T18:T20)</f>
        <v>4923572.366463559</v>
      </c>
      <c r="U21" s="11">
        <f>SUM(U18:U20)</f>
        <v>1454.635265</v>
      </c>
      <c r="V21" s="11">
        <f>W21/U21</f>
        <v>3282.4633275244237</v>
      </c>
      <c r="W21" s="11">
        <f>SUM(W18:W20)</f>
        <v>4774786.912286271</v>
      </c>
      <c r="X21" s="11">
        <f>SUM(X18:X20)</f>
        <v>1407.64378268</v>
      </c>
      <c r="Y21" s="11">
        <f>Z21/X21</f>
        <v>2905.9956329092943</v>
      </c>
      <c r="Z21" s="11">
        <f>SUM(Z18:Z20)</f>
        <v>4090606.68516</v>
      </c>
      <c r="AA21" s="11">
        <f>SUM(AA18:AA20)</f>
        <v>1257.95288468</v>
      </c>
      <c r="AB21" s="11">
        <f>AC21/AA21</f>
        <v>2661.786877401034</v>
      </c>
      <c r="AC21" s="11">
        <f>SUM(AC18:AC20)</f>
        <v>3348402.48083</v>
      </c>
      <c r="AD21" s="11">
        <f>SUM(AD18:AD20)</f>
        <v>1183.0414225000002</v>
      </c>
      <c r="AE21" s="11">
        <f>AF21/AD21</f>
        <v>2586.4538333948317</v>
      </c>
      <c r="AF21" s="11">
        <f>SUM(AF18:AF20)</f>
        <v>3059882.02229</v>
      </c>
      <c r="AG21" s="11">
        <f>SUM(AG18:AG20)</f>
        <v>1179.6760000000002</v>
      </c>
      <c r="AH21" s="11">
        <f>AI21/AG21</f>
        <v>2508.6830565765513</v>
      </c>
      <c r="AI21" s="11">
        <f>SUM(AI18:AI20)</f>
        <v>2959433.19345</v>
      </c>
      <c r="AJ21" s="11">
        <f>SUM(AJ18:AJ20)</f>
        <v>1055.053476</v>
      </c>
      <c r="AK21" s="11">
        <f>AL21/AJ21</f>
        <v>2273.120728811285</v>
      </c>
      <c r="AL21" s="11">
        <f>SUM(AL18:AL20)</f>
        <v>2398263.9263</v>
      </c>
      <c r="AM21" s="11">
        <f>SUM(AM18:AM20)</f>
        <v>1064.409044</v>
      </c>
      <c r="AN21" s="11">
        <f>AO21/AM21</f>
        <v>2351.898563913367</v>
      </c>
      <c r="AO21" s="11">
        <f>SUM(AO18:AO20)</f>
        <v>2503382.102</v>
      </c>
      <c r="AP21" s="11">
        <v>1042.590161</v>
      </c>
      <c r="AQ21" s="11">
        <v>2077.47098705836</v>
      </c>
      <c r="AR21" s="11">
        <v>2165950.8108699997</v>
      </c>
      <c r="AS21" s="11">
        <v>1044.7600439999999</v>
      </c>
      <c r="AT21" s="11">
        <v>1735.49430935167</v>
      </c>
      <c r="AU21" s="11">
        <v>1813175.111</v>
      </c>
      <c r="AV21" s="11">
        <f>AV18+AV19</f>
        <v>1025.223856</v>
      </c>
      <c r="AW21" s="11">
        <f>AX21/AV21</f>
        <v>1415.5355754811853</v>
      </c>
      <c r="AX21" s="11">
        <f>AX18+AX19</f>
        <v>1451240.841</v>
      </c>
      <c r="AY21" s="10">
        <f>AY18+AY19</f>
        <v>1070.1941550000001</v>
      </c>
      <c r="AZ21" s="10">
        <f>BA21/AY21</f>
        <v>1218.8140447216326</v>
      </c>
      <c r="BA21" s="11">
        <f>BA18+BA19</f>
        <v>1304367.6666930001</v>
      </c>
      <c r="BB21" s="10">
        <f>BB18+BB19</f>
        <v>1065.598508</v>
      </c>
      <c r="BC21" s="10">
        <f>BD21/BB21</f>
        <v>1133.1193801920379</v>
      </c>
      <c r="BD21" s="11">
        <f>BD18+BD19</f>
        <v>1207450.3209185202</v>
      </c>
      <c r="BE21" s="10">
        <f>BE18+BE19</f>
        <v>1078.5682040000002</v>
      </c>
      <c r="BF21" s="10">
        <f>BG21/BE21</f>
        <v>1025.3150139404627</v>
      </c>
      <c r="BG21" s="11">
        <f>BG18+BG19</f>
        <v>1105872.17312</v>
      </c>
    </row>
    <row r="22" spans="1:59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5.75">
      <c r="A25" s="19" t="s">
        <v>39</v>
      </c>
      <c r="B25" s="19" t="s">
        <v>40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7" customFormat="1" ht="15">
      <c r="A26" s="28"/>
      <c r="B26" s="28"/>
      <c r="C26" s="136">
        <f>C15</f>
        <v>2023</v>
      </c>
      <c r="D26" s="136"/>
      <c r="E26" s="136"/>
      <c r="F26" s="136">
        <f>F15</f>
        <v>2022</v>
      </c>
      <c r="G26" s="136"/>
      <c r="H26" s="136"/>
      <c r="I26" s="136">
        <v>2021</v>
      </c>
      <c r="J26" s="136"/>
      <c r="K26" s="136"/>
      <c r="L26" s="136">
        <f>L15</f>
        <v>2020</v>
      </c>
      <c r="M26" s="136"/>
      <c r="N26" s="136"/>
      <c r="O26" s="136">
        <f>O15</f>
        <v>2019</v>
      </c>
      <c r="P26" s="136"/>
      <c r="Q26" s="136"/>
      <c r="R26" s="136">
        <f>R15</f>
        <v>2018</v>
      </c>
      <c r="S26" s="136"/>
      <c r="T26" s="136"/>
      <c r="U26" s="136">
        <f>U5</f>
        <v>2017</v>
      </c>
      <c r="V26" s="136"/>
      <c r="W26" s="136"/>
      <c r="X26" s="136">
        <f>X5</f>
        <v>2016</v>
      </c>
      <c r="Y26" s="136"/>
      <c r="Z26" s="136"/>
      <c r="AA26" s="136">
        <f>AA5</f>
        <v>2015</v>
      </c>
      <c r="AB26" s="136"/>
      <c r="AC26" s="136"/>
      <c r="AD26" s="136">
        <f>AD5</f>
        <v>2014</v>
      </c>
      <c r="AE26" s="136"/>
      <c r="AF26" s="136"/>
      <c r="AG26" s="136">
        <v>2013</v>
      </c>
      <c r="AH26" s="136"/>
      <c r="AI26" s="136"/>
      <c r="AJ26" s="136">
        <v>2012</v>
      </c>
      <c r="AK26" s="136"/>
      <c r="AL26" s="136"/>
      <c r="AM26" s="136">
        <f>AM15</f>
        <v>2011</v>
      </c>
      <c r="AN26" s="136"/>
      <c r="AO26" s="136"/>
      <c r="AP26" s="136">
        <v>2010</v>
      </c>
      <c r="AQ26" s="136"/>
      <c r="AR26" s="136"/>
      <c r="AS26" s="82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</row>
    <row r="27" spans="1:59" s="24" customFormat="1" ht="33.75" customHeight="1">
      <c r="A27" s="22"/>
      <c r="B27" s="22"/>
      <c r="C27" s="22" t="s">
        <v>41</v>
      </c>
      <c r="D27" s="22" t="s">
        <v>43</v>
      </c>
      <c r="E27" s="22" t="s">
        <v>26</v>
      </c>
      <c r="F27" s="22" t="s">
        <v>41</v>
      </c>
      <c r="G27" s="22" t="s">
        <v>43</v>
      </c>
      <c r="H27" s="22" t="s">
        <v>26</v>
      </c>
      <c r="I27" s="22" t="s">
        <v>41</v>
      </c>
      <c r="J27" s="22" t="s">
        <v>43</v>
      </c>
      <c r="K27" s="22" t="s">
        <v>26</v>
      </c>
      <c r="L27" s="22" t="s">
        <v>41</v>
      </c>
      <c r="M27" s="22" t="s">
        <v>43</v>
      </c>
      <c r="N27" s="22" t="s">
        <v>26</v>
      </c>
      <c r="O27" s="22" t="s">
        <v>41</v>
      </c>
      <c r="P27" s="22" t="s">
        <v>43</v>
      </c>
      <c r="Q27" s="22" t="s">
        <v>26</v>
      </c>
      <c r="R27" s="22" t="s">
        <v>41</v>
      </c>
      <c r="S27" s="22" t="s">
        <v>43</v>
      </c>
      <c r="T27" s="22" t="s">
        <v>26</v>
      </c>
      <c r="U27" s="22" t="s">
        <v>41</v>
      </c>
      <c r="V27" s="22" t="s">
        <v>43</v>
      </c>
      <c r="W27" s="22" t="s">
        <v>26</v>
      </c>
      <c r="X27" s="22" t="s">
        <v>41</v>
      </c>
      <c r="Y27" s="22" t="s">
        <v>43</v>
      </c>
      <c r="Z27" s="22" t="s">
        <v>26</v>
      </c>
      <c r="AA27" s="22" t="s">
        <v>41</v>
      </c>
      <c r="AB27" s="22" t="s">
        <v>43</v>
      </c>
      <c r="AC27" s="22" t="s">
        <v>26</v>
      </c>
      <c r="AD27" s="22" t="s">
        <v>41</v>
      </c>
      <c r="AE27" s="22" t="s">
        <v>43</v>
      </c>
      <c r="AF27" s="22" t="s">
        <v>26</v>
      </c>
      <c r="AG27" s="22" t="s">
        <v>41</v>
      </c>
      <c r="AH27" s="22" t="s">
        <v>43</v>
      </c>
      <c r="AI27" s="22" t="s">
        <v>26</v>
      </c>
      <c r="AJ27" s="22" t="s">
        <v>41</v>
      </c>
      <c r="AK27" s="22" t="s">
        <v>43</v>
      </c>
      <c r="AL27" s="22" t="s">
        <v>26</v>
      </c>
      <c r="AM27" s="22" t="s">
        <v>41</v>
      </c>
      <c r="AN27" s="22" t="s">
        <v>43</v>
      </c>
      <c r="AO27" s="22" t="s">
        <v>26</v>
      </c>
      <c r="AP27" s="22" t="s">
        <v>41</v>
      </c>
      <c r="AQ27" s="22" t="s">
        <v>43</v>
      </c>
      <c r="AR27" s="22" t="s">
        <v>26</v>
      </c>
      <c r="AS27" s="83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</row>
    <row r="28" spans="1:59" s="24" customFormat="1" ht="28.5">
      <c r="A28" s="22"/>
      <c r="B28" s="22"/>
      <c r="C28" s="22" t="s">
        <v>42</v>
      </c>
      <c r="D28" s="22" t="s">
        <v>44</v>
      </c>
      <c r="E28" s="22" t="s">
        <v>17</v>
      </c>
      <c r="F28" s="22" t="s">
        <v>42</v>
      </c>
      <c r="G28" s="22" t="s">
        <v>44</v>
      </c>
      <c r="H28" s="22" t="s">
        <v>17</v>
      </c>
      <c r="I28" s="22" t="s">
        <v>42</v>
      </c>
      <c r="J28" s="22" t="s">
        <v>44</v>
      </c>
      <c r="K28" s="22" t="s">
        <v>17</v>
      </c>
      <c r="L28" s="22" t="s">
        <v>42</v>
      </c>
      <c r="M28" s="22" t="s">
        <v>44</v>
      </c>
      <c r="N28" s="22" t="s">
        <v>17</v>
      </c>
      <c r="O28" s="22" t="s">
        <v>42</v>
      </c>
      <c r="P28" s="22" t="s">
        <v>44</v>
      </c>
      <c r="Q28" s="22" t="s">
        <v>17</v>
      </c>
      <c r="R28" s="22" t="s">
        <v>42</v>
      </c>
      <c r="S28" s="22" t="s">
        <v>44</v>
      </c>
      <c r="T28" s="22" t="s">
        <v>17</v>
      </c>
      <c r="U28" s="22" t="s">
        <v>42</v>
      </c>
      <c r="V28" s="22" t="s">
        <v>44</v>
      </c>
      <c r="W28" s="22" t="s">
        <v>17</v>
      </c>
      <c r="X28" s="22" t="s">
        <v>42</v>
      </c>
      <c r="Y28" s="22" t="s">
        <v>44</v>
      </c>
      <c r="Z28" s="22" t="s">
        <v>17</v>
      </c>
      <c r="AA28" s="22" t="s">
        <v>42</v>
      </c>
      <c r="AB28" s="22" t="s">
        <v>44</v>
      </c>
      <c r="AC28" s="22" t="s">
        <v>17</v>
      </c>
      <c r="AD28" s="22" t="s">
        <v>42</v>
      </c>
      <c r="AE28" s="22" t="s">
        <v>44</v>
      </c>
      <c r="AF28" s="22" t="s">
        <v>17</v>
      </c>
      <c r="AG28" s="22" t="s">
        <v>42</v>
      </c>
      <c r="AH28" s="22" t="s">
        <v>44</v>
      </c>
      <c r="AI28" s="22" t="s">
        <v>17</v>
      </c>
      <c r="AJ28" s="22" t="s">
        <v>42</v>
      </c>
      <c r="AK28" s="22" t="s">
        <v>44</v>
      </c>
      <c r="AL28" s="22" t="s">
        <v>17</v>
      </c>
      <c r="AM28" s="22" t="s">
        <v>42</v>
      </c>
      <c r="AN28" s="22" t="s">
        <v>44</v>
      </c>
      <c r="AO28" s="22" t="s">
        <v>17</v>
      </c>
      <c r="AP28" s="22" t="s">
        <v>42</v>
      </c>
      <c r="AQ28" s="22" t="s">
        <v>44</v>
      </c>
      <c r="AR28" s="22" t="s">
        <v>17</v>
      </c>
      <c r="AS28" s="83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</row>
    <row r="29" spans="1:59" ht="14.25">
      <c r="A29" s="4" t="s">
        <v>1</v>
      </c>
      <c r="B29" s="4" t="s">
        <v>11</v>
      </c>
      <c r="C29" s="64">
        <v>1986.788</v>
      </c>
      <c r="D29" s="64">
        <v>1174.9728219417473</v>
      </c>
      <c r="E29" s="64">
        <v>2334421.90296</v>
      </c>
      <c r="F29" s="64">
        <v>2116.685</v>
      </c>
      <c r="G29" s="64">
        <f>H29/F29</f>
        <v>1058.7205109121103</v>
      </c>
      <c r="H29" s="64">
        <v>2240977.8246400002</v>
      </c>
      <c r="I29" s="64">
        <v>2065.758</v>
      </c>
      <c r="J29" s="64">
        <f>K29/I29</f>
        <v>1027.347225802829</v>
      </c>
      <c r="K29" s="64">
        <v>2122250.75048</v>
      </c>
      <c r="L29" s="31">
        <v>1482.867</v>
      </c>
      <c r="M29" s="31">
        <f>N29/L29</f>
        <v>1040.8714587889544</v>
      </c>
      <c r="N29" s="31">
        <v>1543473.9374800003</v>
      </c>
      <c r="O29" s="31">
        <v>1372.968</v>
      </c>
      <c r="P29" s="31">
        <f>Q29/O29</f>
        <v>1045.8657709356664</v>
      </c>
      <c r="Q29" s="31">
        <v>1435940.23579</v>
      </c>
      <c r="R29" s="31">
        <v>1405.596</v>
      </c>
      <c r="S29" s="31">
        <f>T29/R29</f>
        <v>1027.659927311973</v>
      </c>
      <c r="T29" s="31">
        <v>1444474.68319</v>
      </c>
      <c r="U29" s="31">
        <v>1262.164</v>
      </c>
      <c r="V29" s="31">
        <f>W29/U29</f>
        <v>1079.5903361528297</v>
      </c>
      <c r="W29" s="31">
        <v>1362620.05704</v>
      </c>
      <c r="X29" s="31">
        <v>1038.604</v>
      </c>
      <c r="Y29" s="31">
        <f>Z29/X29</f>
        <v>1006.5583120342308</v>
      </c>
      <c r="Z29" s="31">
        <v>1045415.4891120002</v>
      </c>
      <c r="AA29" s="6">
        <v>1103.496</v>
      </c>
      <c r="AB29" s="6">
        <f>AC29/AA29</f>
        <v>925.5572598269501</v>
      </c>
      <c r="AC29" s="6">
        <v>1021348.7339900002</v>
      </c>
      <c r="AD29" s="6">
        <v>1126.679</v>
      </c>
      <c r="AE29" s="6">
        <f>AF29/AD29</f>
        <v>819.0815699236427</v>
      </c>
      <c r="AF29" s="6">
        <v>922842.0041199999</v>
      </c>
      <c r="AG29" s="6">
        <v>1186.096</v>
      </c>
      <c r="AH29" s="6">
        <f>AI29/AG29</f>
        <v>738.8000481411285</v>
      </c>
      <c r="AI29" s="6">
        <v>876287.7819</v>
      </c>
      <c r="AJ29" s="6">
        <v>1146.489</v>
      </c>
      <c r="AK29" s="6">
        <f>AL29/AJ29</f>
        <v>649.1711353270724</v>
      </c>
      <c r="AL29" s="6">
        <v>744267.56577</v>
      </c>
      <c r="AM29" s="6">
        <v>931.139</v>
      </c>
      <c r="AN29" s="6">
        <f>AO29/AM29</f>
        <v>617.6174854989426</v>
      </c>
      <c r="AO29" s="6">
        <v>575087.72783</v>
      </c>
      <c r="AP29" s="6">
        <v>998.943</v>
      </c>
      <c r="AQ29" s="6">
        <f>AR29/AP29</f>
        <v>535.1360172802653</v>
      </c>
      <c r="AR29" s="6">
        <v>534570.3785100001</v>
      </c>
      <c r="AS29" s="81"/>
      <c r="AT29" s="43"/>
      <c r="AU29" s="43"/>
      <c r="AV29" s="43"/>
      <c r="AW29" s="43"/>
      <c r="AX29" s="43"/>
      <c r="AY29" s="44"/>
      <c r="AZ29" s="44"/>
      <c r="BA29" s="43"/>
      <c r="BB29" s="44"/>
      <c r="BC29" s="44"/>
      <c r="BD29" s="43"/>
      <c r="BE29" s="44"/>
      <c r="BF29" s="44"/>
      <c r="BG29" s="43"/>
    </row>
    <row r="30" spans="1:59" ht="15">
      <c r="A30" s="9" t="s">
        <v>61</v>
      </c>
      <c r="B30" s="9" t="s">
        <v>62</v>
      </c>
      <c r="C30" s="11">
        <f>C29</f>
        <v>1986.788</v>
      </c>
      <c r="D30" s="11">
        <f>E30/C30</f>
        <v>1174.9728219417473</v>
      </c>
      <c r="E30" s="11">
        <f>E29</f>
        <v>2334421.90296</v>
      </c>
      <c r="F30" s="11">
        <f>F29</f>
        <v>2116.685</v>
      </c>
      <c r="G30" s="11">
        <f>H30/F30</f>
        <v>1058.7205109121103</v>
      </c>
      <c r="H30" s="11">
        <f>H29</f>
        <v>2240977.8246400002</v>
      </c>
      <c r="I30" s="11">
        <f>I29</f>
        <v>2065.758</v>
      </c>
      <c r="J30" s="11">
        <f>K30/I30</f>
        <v>1027.347225802829</v>
      </c>
      <c r="K30" s="11">
        <f>K29</f>
        <v>2122250.75048</v>
      </c>
      <c r="L30" s="11">
        <f>L29</f>
        <v>1482.867</v>
      </c>
      <c r="M30" s="11">
        <f>N30/L30</f>
        <v>1040.8714587889544</v>
      </c>
      <c r="N30" s="11">
        <f>N29</f>
        <v>1543473.9374800003</v>
      </c>
      <c r="O30" s="11">
        <f>O29</f>
        <v>1372.968</v>
      </c>
      <c r="P30" s="11">
        <f>Q30/O30</f>
        <v>1045.8657709356664</v>
      </c>
      <c r="Q30" s="11">
        <f>Q29</f>
        <v>1435940.23579</v>
      </c>
      <c r="R30" s="11">
        <f>R29</f>
        <v>1405.596</v>
      </c>
      <c r="S30" s="11">
        <f>T30/R30</f>
        <v>1027.659927311973</v>
      </c>
      <c r="T30" s="11">
        <f>T29</f>
        <v>1444474.68319</v>
      </c>
      <c r="U30" s="11">
        <f>U29</f>
        <v>1262.164</v>
      </c>
      <c r="V30" s="11">
        <f>W30/U30</f>
        <v>1079.5903361528297</v>
      </c>
      <c r="W30" s="11">
        <f>W29</f>
        <v>1362620.05704</v>
      </c>
      <c r="X30" s="11">
        <f>X29</f>
        <v>1038.604</v>
      </c>
      <c r="Y30" s="11">
        <f>Z30/X30</f>
        <v>1006.5583120342308</v>
      </c>
      <c r="Z30" s="11">
        <f>Z29</f>
        <v>1045415.4891120002</v>
      </c>
      <c r="AA30" s="11">
        <f>AA29</f>
        <v>1103.496</v>
      </c>
      <c r="AB30" s="11">
        <f>AC30/AA30</f>
        <v>925.5572598269501</v>
      </c>
      <c r="AC30" s="11">
        <f>AC29</f>
        <v>1021348.7339900002</v>
      </c>
      <c r="AD30" s="11">
        <f>AD29</f>
        <v>1126.679</v>
      </c>
      <c r="AE30" s="11">
        <f>AF30/AD30</f>
        <v>819.0815699236427</v>
      </c>
      <c r="AF30" s="11">
        <f>AF29</f>
        <v>922842.0041199999</v>
      </c>
      <c r="AG30" s="11">
        <f>AG29</f>
        <v>1186.096</v>
      </c>
      <c r="AH30" s="11">
        <f>AI30/AG30</f>
        <v>738.8000481411285</v>
      </c>
      <c r="AI30" s="11">
        <f>AI29</f>
        <v>876287.7819</v>
      </c>
      <c r="AJ30" s="11">
        <f>AJ29</f>
        <v>1146.489</v>
      </c>
      <c r="AK30" s="11">
        <f>AL30/AJ30</f>
        <v>649.1711353270724</v>
      </c>
      <c r="AL30" s="11">
        <f>AL29</f>
        <v>744267.56577</v>
      </c>
      <c r="AM30" s="11">
        <f>AM29</f>
        <v>931.139</v>
      </c>
      <c r="AN30" s="11">
        <f>AO30/AM30</f>
        <v>617.6174854989426</v>
      </c>
      <c r="AO30" s="11">
        <f>AO29</f>
        <v>575087.72783</v>
      </c>
      <c r="AP30" s="11">
        <v>1042.590161</v>
      </c>
      <c r="AQ30" s="11">
        <v>2077.47098705836</v>
      </c>
      <c r="AR30" s="11">
        <v>2165950.8108699997</v>
      </c>
      <c r="AS30" s="84"/>
      <c r="AT30" s="45"/>
      <c r="AU30" s="45"/>
      <c r="AV30" s="45"/>
      <c r="AW30" s="45"/>
      <c r="AX30" s="45"/>
      <c r="AY30" s="46"/>
      <c r="AZ30" s="46"/>
      <c r="BA30" s="45"/>
      <c r="BB30" s="46"/>
      <c r="BC30" s="46"/>
      <c r="BD30" s="45"/>
      <c r="BE30" s="46"/>
      <c r="BF30" s="46"/>
      <c r="BG30" s="45"/>
    </row>
    <row r="31" spans="1:59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5.75">
      <c r="A34" s="20" t="s">
        <v>60</v>
      </c>
      <c r="B34" s="20" t="s">
        <v>59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7" customFormat="1" ht="15">
      <c r="A35" s="28"/>
      <c r="B35" s="28"/>
      <c r="C35" s="136">
        <f>C26</f>
        <v>2023</v>
      </c>
      <c r="D35" s="136"/>
      <c r="E35" s="136"/>
      <c r="F35" s="136">
        <f>F26</f>
        <v>2022</v>
      </c>
      <c r="G35" s="136"/>
      <c r="H35" s="136"/>
      <c r="I35" s="136">
        <v>2021</v>
      </c>
      <c r="J35" s="136"/>
      <c r="K35" s="136"/>
      <c r="L35" s="136">
        <f>L26</f>
        <v>2020</v>
      </c>
      <c r="M35" s="136"/>
      <c r="N35" s="136"/>
      <c r="O35" s="136">
        <f>O26</f>
        <v>2019</v>
      </c>
      <c r="P35" s="136"/>
      <c r="Q35" s="136"/>
      <c r="R35" s="136">
        <f>R26</f>
        <v>2018</v>
      </c>
      <c r="S35" s="136"/>
      <c r="T35" s="136"/>
      <c r="U35" s="136">
        <f>U5</f>
        <v>2017</v>
      </c>
      <c r="V35" s="136"/>
      <c r="W35" s="136"/>
      <c r="X35" s="136">
        <f>X5</f>
        <v>2016</v>
      </c>
      <c r="Y35" s="136"/>
      <c r="Z35" s="136"/>
      <c r="AA35" s="136">
        <f>AA5</f>
        <v>2015</v>
      </c>
      <c r="AB35" s="136"/>
      <c r="AC35" s="136"/>
      <c r="AD35" s="136">
        <f>AD5</f>
        <v>2014</v>
      </c>
      <c r="AE35" s="136"/>
      <c r="AF35" s="136"/>
      <c r="AG35" s="136">
        <v>2013</v>
      </c>
      <c r="AH35" s="136"/>
      <c r="AI35" s="136"/>
      <c r="AJ35" s="136">
        <v>2012</v>
      </c>
      <c r="AK35" s="136"/>
      <c r="AL35" s="136"/>
      <c r="AM35" s="136">
        <f>AM15</f>
        <v>2011</v>
      </c>
      <c r="AN35" s="136"/>
      <c r="AO35" s="136"/>
      <c r="AP35" s="136">
        <v>2010</v>
      </c>
      <c r="AQ35" s="136"/>
      <c r="AR35" s="136"/>
      <c r="AS35" s="138">
        <v>2009</v>
      </c>
      <c r="AT35" s="139"/>
      <c r="AU35" s="140"/>
      <c r="AV35" s="138">
        <v>2008</v>
      </c>
      <c r="AW35" s="139"/>
      <c r="AX35" s="140"/>
      <c r="AY35" s="136">
        <v>2007</v>
      </c>
      <c r="AZ35" s="136"/>
      <c r="BA35" s="136"/>
      <c r="BB35" s="136">
        <v>2006</v>
      </c>
      <c r="BC35" s="136"/>
      <c r="BD35" s="136"/>
      <c r="BE35" s="136">
        <v>2005</v>
      </c>
      <c r="BF35" s="136"/>
      <c r="BG35" s="136"/>
    </row>
    <row r="36" spans="1:59" s="24" customFormat="1" ht="33.75" customHeight="1">
      <c r="A36" s="22"/>
      <c r="B36" s="22"/>
      <c r="C36" s="22" t="s">
        <v>24</v>
      </c>
      <c r="D36" s="22" t="s">
        <v>25</v>
      </c>
      <c r="E36" s="22" t="s">
        <v>26</v>
      </c>
      <c r="F36" s="22" t="s">
        <v>24</v>
      </c>
      <c r="G36" s="22" t="s">
        <v>25</v>
      </c>
      <c r="H36" s="22" t="s">
        <v>26</v>
      </c>
      <c r="I36" s="22" t="s">
        <v>24</v>
      </c>
      <c r="J36" s="22" t="s">
        <v>25</v>
      </c>
      <c r="K36" s="22" t="s">
        <v>26</v>
      </c>
      <c r="L36" s="22" t="s">
        <v>24</v>
      </c>
      <c r="M36" s="22" t="s">
        <v>25</v>
      </c>
      <c r="N36" s="22" t="s">
        <v>26</v>
      </c>
      <c r="O36" s="22" t="s">
        <v>24</v>
      </c>
      <c r="P36" s="22" t="s">
        <v>25</v>
      </c>
      <c r="Q36" s="22" t="s">
        <v>26</v>
      </c>
      <c r="R36" s="22" t="s">
        <v>24</v>
      </c>
      <c r="S36" s="22" t="s">
        <v>25</v>
      </c>
      <c r="T36" s="22" t="s">
        <v>26</v>
      </c>
      <c r="U36" s="22" t="s">
        <v>24</v>
      </c>
      <c r="V36" s="22" t="s">
        <v>25</v>
      </c>
      <c r="W36" s="22" t="s">
        <v>26</v>
      </c>
      <c r="X36" s="22" t="s">
        <v>24</v>
      </c>
      <c r="Y36" s="22" t="s">
        <v>25</v>
      </c>
      <c r="Z36" s="22" t="s">
        <v>26</v>
      </c>
      <c r="AA36" s="22" t="s">
        <v>24</v>
      </c>
      <c r="AB36" s="22" t="s">
        <v>25</v>
      </c>
      <c r="AC36" s="22" t="s">
        <v>26</v>
      </c>
      <c r="AD36" s="22" t="s">
        <v>24</v>
      </c>
      <c r="AE36" s="22" t="s">
        <v>25</v>
      </c>
      <c r="AF36" s="22" t="s">
        <v>26</v>
      </c>
      <c r="AG36" s="22" t="s">
        <v>24</v>
      </c>
      <c r="AH36" s="22" t="s">
        <v>25</v>
      </c>
      <c r="AI36" s="22" t="s">
        <v>26</v>
      </c>
      <c r="AJ36" s="22" t="s">
        <v>24</v>
      </c>
      <c r="AK36" s="22" t="s">
        <v>25</v>
      </c>
      <c r="AL36" s="22" t="s">
        <v>26</v>
      </c>
      <c r="AM36" s="22" t="s">
        <v>24</v>
      </c>
      <c r="AN36" s="22" t="s">
        <v>25</v>
      </c>
      <c r="AO36" s="22" t="s">
        <v>26</v>
      </c>
      <c r="AP36" s="22" t="s">
        <v>24</v>
      </c>
      <c r="AQ36" s="22" t="s">
        <v>25</v>
      </c>
      <c r="AR36" s="22" t="s">
        <v>26</v>
      </c>
      <c r="AS36" s="22" t="s">
        <v>24</v>
      </c>
      <c r="AT36" s="22" t="s">
        <v>25</v>
      </c>
      <c r="AU36" s="22" t="s">
        <v>26</v>
      </c>
      <c r="AV36" s="22" t="s">
        <v>24</v>
      </c>
      <c r="AW36" s="22" t="s">
        <v>25</v>
      </c>
      <c r="AX36" s="22" t="s">
        <v>26</v>
      </c>
      <c r="AY36" s="22" t="s">
        <v>6</v>
      </c>
      <c r="AZ36" s="22" t="s">
        <v>8</v>
      </c>
      <c r="BA36" s="22" t="s">
        <v>7</v>
      </c>
      <c r="BB36" s="22" t="s">
        <v>6</v>
      </c>
      <c r="BC36" s="22" t="s">
        <v>8</v>
      </c>
      <c r="BD36" s="22" t="s">
        <v>7</v>
      </c>
      <c r="BE36" s="22" t="s">
        <v>6</v>
      </c>
      <c r="BF36" s="22" t="s">
        <v>8</v>
      </c>
      <c r="BG36" s="22" t="s">
        <v>7</v>
      </c>
    </row>
    <row r="37" spans="1:59" s="24" customFormat="1" ht="28.5">
      <c r="A37" s="22"/>
      <c r="B37" s="22"/>
      <c r="C37" s="22" t="s">
        <v>18</v>
      </c>
      <c r="D37" s="22" t="s">
        <v>19</v>
      </c>
      <c r="E37" s="22" t="s">
        <v>17</v>
      </c>
      <c r="F37" s="22" t="s">
        <v>18</v>
      </c>
      <c r="G37" s="22" t="s">
        <v>19</v>
      </c>
      <c r="H37" s="22" t="s">
        <v>17</v>
      </c>
      <c r="I37" s="22" t="s">
        <v>18</v>
      </c>
      <c r="J37" s="22" t="s">
        <v>19</v>
      </c>
      <c r="K37" s="22" t="s">
        <v>17</v>
      </c>
      <c r="L37" s="22" t="s">
        <v>18</v>
      </c>
      <c r="M37" s="22" t="s">
        <v>19</v>
      </c>
      <c r="N37" s="22" t="s">
        <v>17</v>
      </c>
      <c r="O37" s="22" t="s">
        <v>18</v>
      </c>
      <c r="P37" s="22" t="s">
        <v>19</v>
      </c>
      <c r="Q37" s="22" t="s">
        <v>17</v>
      </c>
      <c r="R37" s="22" t="s">
        <v>18</v>
      </c>
      <c r="S37" s="22" t="s">
        <v>19</v>
      </c>
      <c r="T37" s="22" t="s">
        <v>17</v>
      </c>
      <c r="U37" s="22" t="s">
        <v>18</v>
      </c>
      <c r="V37" s="22" t="s">
        <v>19</v>
      </c>
      <c r="W37" s="22" t="s">
        <v>17</v>
      </c>
      <c r="X37" s="22" t="s">
        <v>18</v>
      </c>
      <c r="Y37" s="22" t="s">
        <v>19</v>
      </c>
      <c r="Z37" s="22" t="s">
        <v>17</v>
      </c>
      <c r="AA37" s="22" t="s">
        <v>18</v>
      </c>
      <c r="AB37" s="22" t="s">
        <v>19</v>
      </c>
      <c r="AC37" s="22" t="s">
        <v>17</v>
      </c>
      <c r="AD37" s="22" t="s">
        <v>18</v>
      </c>
      <c r="AE37" s="22" t="s">
        <v>19</v>
      </c>
      <c r="AF37" s="22" t="s">
        <v>17</v>
      </c>
      <c r="AG37" s="22" t="s">
        <v>18</v>
      </c>
      <c r="AH37" s="22" t="s">
        <v>19</v>
      </c>
      <c r="AI37" s="22" t="s">
        <v>17</v>
      </c>
      <c r="AJ37" s="22" t="s">
        <v>18</v>
      </c>
      <c r="AK37" s="22" t="s">
        <v>19</v>
      </c>
      <c r="AL37" s="22" t="s">
        <v>17</v>
      </c>
      <c r="AM37" s="22" t="s">
        <v>18</v>
      </c>
      <c r="AN37" s="22" t="s">
        <v>19</v>
      </c>
      <c r="AO37" s="22" t="s">
        <v>17</v>
      </c>
      <c r="AP37" s="22" t="s">
        <v>18</v>
      </c>
      <c r="AQ37" s="22" t="s">
        <v>19</v>
      </c>
      <c r="AR37" s="22" t="s">
        <v>17</v>
      </c>
      <c r="AS37" s="22" t="s">
        <v>18</v>
      </c>
      <c r="AT37" s="22" t="s">
        <v>19</v>
      </c>
      <c r="AU37" s="22" t="s">
        <v>17</v>
      </c>
      <c r="AV37" s="22" t="s">
        <v>18</v>
      </c>
      <c r="AW37" s="22" t="s">
        <v>19</v>
      </c>
      <c r="AX37" s="22" t="s">
        <v>17</v>
      </c>
      <c r="AY37" s="22" t="s">
        <v>18</v>
      </c>
      <c r="AZ37" s="22" t="s">
        <v>19</v>
      </c>
      <c r="BA37" s="22" t="s">
        <v>17</v>
      </c>
      <c r="BB37" s="22" t="s">
        <v>18</v>
      </c>
      <c r="BC37" s="22" t="s">
        <v>19</v>
      </c>
      <c r="BD37" s="22" t="s">
        <v>17</v>
      </c>
      <c r="BE37" s="22" t="s">
        <v>18</v>
      </c>
      <c r="BF37" s="22" t="s">
        <v>19</v>
      </c>
      <c r="BG37" s="22" t="s">
        <v>17</v>
      </c>
    </row>
    <row r="38" spans="1:59" ht="14.25">
      <c r="A38" s="4" t="s">
        <v>1</v>
      </c>
      <c r="B38" s="4" t="s">
        <v>11</v>
      </c>
      <c r="C38" s="63">
        <v>668.946</v>
      </c>
      <c r="D38" s="64">
        <f>E38/C38</f>
        <v>17000.072601448184</v>
      </c>
      <c r="E38" s="64">
        <v>11372130.566448357</v>
      </c>
      <c r="F38" s="63">
        <v>627.11653</v>
      </c>
      <c r="G38" s="64">
        <f>H38/F38</f>
        <v>16142.5355766094</v>
      </c>
      <c r="H38" s="64">
        <v>10123250.896204837</v>
      </c>
      <c r="I38" s="63">
        <v>623.67577</v>
      </c>
      <c r="J38" s="64">
        <f>K38/I38</f>
        <v>11125.01883621307</v>
      </c>
      <c r="K38" s="64">
        <v>6938404.688939691</v>
      </c>
      <c r="L38" s="36">
        <v>587.0339</v>
      </c>
      <c r="M38" s="31">
        <f>N38/L38</f>
        <v>9264.115860204825</v>
      </c>
      <c r="N38" s="31">
        <v>5438350.063467894</v>
      </c>
      <c r="O38" s="36">
        <v>567.982</v>
      </c>
      <c r="P38" s="64">
        <f>Q38/O38</f>
        <v>9934.823808269835</v>
      </c>
      <c r="Q38" s="31">
        <v>5642801.096268717</v>
      </c>
      <c r="R38" s="36">
        <v>616.081</v>
      </c>
      <c r="S38" s="64">
        <f>T38/R38</f>
        <v>7539.0224844229415</v>
      </c>
      <c r="T38" s="31">
        <v>4644648.51122577</v>
      </c>
      <c r="U38" s="36">
        <v>590.566</v>
      </c>
      <c r="V38" s="31">
        <v>7216.387048675595</v>
      </c>
      <c r="W38" s="31">
        <f>U38*V38</f>
        <v>4261752.833788152</v>
      </c>
      <c r="X38" s="36">
        <v>507.459</v>
      </c>
      <c r="Y38" s="31">
        <v>10333.77054596116</v>
      </c>
      <c r="Z38" s="31">
        <f>X38*Y38</f>
        <v>5243964.867482904</v>
      </c>
      <c r="AA38" s="5">
        <v>502.776</v>
      </c>
      <c r="AB38" s="6">
        <v>8334.490563891422</v>
      </c>
      <c r="AC38" s="6">
        <f>AA38*AB38</f>
        <v>4190381.827751074</v>
      </c>
      <c r="AD38" s="5">
        <v>494.1794</v>
      </c>
      <c r="AE38" s="6">
        <v>5235.135895925964</v>
      </c>
      <c r="AF38" s="6">
        <f>AD38*AE38</f>
        <v>2587096.315967155</v>
      </c>
      <c r="AG38" s="5">
        <v>495.142</v>
      </c>
      <c r="AH38" s="6">
        <v>5724.142768777441</v>
      </c>
      <c r="AI38" s="6">
        <f>AG38*AH38</f>
        <v>2834263.498818</v>
      </c>
      <c r="AJ38" s="5">
        <v>480.68</v>
      </c>
      <c r="AK38" s="6">
        <v>4065.4866651838965</v>
      </c>
      <c r="AL38" s="6">
        <f>AJ38*AK38</f>
        <v>1954198.1302205955</v>
      </c>
      <c r="AM38" s="5">
        <v>484.299</v>
      </c>
      <c r="AN38" s="6">
        <v>3271.591859161386</v>
      </c>
      <c r="AO38" s="6">
        <v>1584428.6657999998</v>
      </c>
      <c r="AP38" s="5">
        <v>486.48</v>
      </c>
      <c r="AQ38" s="6">
        <v>3036.7259445403715</v>
      </c>
      <c r="AR38" s="6">
        <v>1477306.4375</v>
      </c>
      <c r="AS38" s="6">
        <v>436.707</v>
      </c>
      <c r="AT38" s="6">
        <v>2800</v>
      </c>
      <c r="AU38" s="6">
        <v>1222779.6</v>
      </c>
      <c r="AV38" s="6">
        <v>453.312</v>
      </c>
      <c r="AW38" s="6">
        <f>AX38/AV38</f>
        <v>2171.69</v>
      </c>
      <c r="AX38" s="6">
        <f>2171.69*453.312</f>
        <v>984453.13728</v>
      </c>
      <c r="AY38" s="5">
        <v>449.26505</v>
      </c>
      <c r="AZ38" s="5">
        <f>BA38/AY38</f>
        <v>1609.9352825101812</v>
      </c>
      <c r="BA38" s="6">
        <v>723287.6551937007</v>
      </c>
      <c r="BB38" s="5">
        <v>480.601</v>
      </c>
      <c r="BC38" s="5">
        <f>BD38/BB38</f>
        <v>1600</v>
      </c>
      <c r="BD38" s="6">
        <v>768961.6</v>
      </c>
      <c r="BE38" s="5">
        <v>493.857</v>
      </c>
      <c r="BF38" s="5">
        <f>BG38/BE38</f>
        <v>1390.0000113892636</v>
      </c>
      <c r="BG38" s="6">
        <v>686461.2356246676</v>
      </c>
    </row>
    <row r="39" spans="1:59" ht="14.25">
      <c r="A39" s="4" t="s">
        <v>2</v>
      </c>
      <c r="B39" s="4" t="s">
        <v>12</v>
      </c>
      <c r="C39" s="36">
        <v>341.66630999999995</v>
      </c>
      <c r="D39" s="31">
        <v>17040.898667123198</v>
      </c>
      <c r="E39" s="31">
        <v>5822300.9666799</v>
      </c>
      <c r="F39" s="63">
        <v>306.99372</v>
      </c>
      <c r="G39" s="64">
        <f>H39/F39</f>
        <v>16115.106493919158</v>
      </c>
      <c r="H39" s="64">
        <v>4947236.4907644</v>
      </c>
      <c r="I39" s="63">
        <v>329.38591</v>
      </c>
      <c r="J39" s="64">
        <f>K39/I39</f>
        <v>11111.978693441379</v>
      </c>
      <c r="K39" s="64">
        <f>4233333.16214-K43</f>
        <v>3660129.2138397996</v>
      </c>
      <c r="L39" s="36">
        <v>320.52804</v>
      </c>
      <c r="M39" s="31">
        <f>N39/L39</f>
        <v>9263.27</v>
      </c>
      <c r="N39" s="31">
        <v>2969137.7770908</v>
      </c>
      <c r="O39" s="36">
        <v>215.56278</v>
      </c>
      <c r="P39" s="31">
        <v>9997.14</v>
      </c>
      <c r="Q39" s="31">
        <f>O39*P39</f>
        <v>2155011.2904491997</v>
      </c>
      <c r="R39" s="63">
        <v>328.91406</v>
      </c>
      <c r="S39" s="64">
        <f>T39/R39</f>
        <v>7549.190209351342</v>
      </c>
      <c r="T39" s="31">
        <v>2483034.80147</v>
      </c>
      <c r="U39" s="8">
        <v>310.0576</v>
      </c>
      <c r="V39" s="7">
        <f>W39/U39</f>
        <v>7183.003115743655</v>
      </c>
      <c r="W39" s="31">
        <v>2227144.70686</v>
      </c>
      <c r="X39" s="8">
        <v>283.62844</v>
      </c>
      <c r="Y39" s="7">
        <f>Z39/X39</f>
        <v>10259.27</v>
      </c>
      <c r="Z39" s="31">
        <v>2909820.7456388003</v>
      </c>
      <c r="AA39" s="5">
        <v>286.6287</v>
      </c>
      <c r="AB39" s="6">
        <f>AC39/AA39</f>
        <v>8418.419747568894</v>
      </c>
      <c r="AC39" s="6">
        <v>2412960.7083</v>
      </c>
      <c r="AD39" s="5">
        <v>237.435</v>
      </c>
      <c r="AE39" s="6">
        <v>5331.23</v>
      </c>
      <c r="AF39" s="6">
        <f>AD39*AE39</f>
        <v>1265820.59505</v>
      </c>
      <c r="AG39" s="5">
        <v>273.78708</v>
      </c>
      <c r="AH39" s="6">
        <v>5849.14</v>
      </c>
      <c r="AI39" s="6">
        <f>AG39*AH39</f>
        <v>1601418.9611112</v>
      </c>
      <c r="AJ39" s="5">
        <v>217.93481</v>
      </c>
      <c r="AK39" s="6">
        <v>4036.15</v>
      </c>
      <c r="AL39" s="6">
        <f>AJ39*AK39</f>
        <v>879617.5833815</v>
      </c>
      <c r="AM39" s="5">
        <v>261.88508</v>
      </c>
      <c r="AN39" s="6">
        <v>3277.998</v>
      </c>
      <c r="AO39" s="6">
        <v>858458.76846984</v>
      </c>
      <c r="AP39" s="5">
        <v>239.32008000000002</v>
      </c>
      <c r="AQ39" s="6">
        <v>3050</v>
      </c>
      <c r="AR39" s="6">
        <v>729926.2440000001</v>
      </c>
      <c r="AS39" s="5">
        <v>254.745</v>
      </c>
      <c r="AT39" s="6">
        <v>3030.9693006732223</v>
      </c>
      <c r="AU39" s="6">
        <v>772124.2745</v>
      </c>
      <c r="AV39" s="5">
        <v>177.566</v>
      </c>
      <c r="AW39" s="6">
        <f>AX39/AV39</f>
        <v>2249.5665597580614</v>
      </c>
      <c r="AX39" s="6">
        <v>399446.53575</v>
      </c>
      <c r="AY39" s="5">
        <v>271.22</v>
      </c>
      <c r="AZ39" s="5">
        <f>BA39/AY39</f>
        <v>1842.7336221517585</v>
      </c>
      <c r="BA39" s="6">
        <v>499786.213</v>
      </c>
      <c r="BB39" s="6">
        <v>243.136</v>
      </c>
      <c r="BC39" s="5">
        <f>BD39/BB39</f>
        <v>1600.001974203738</v>
      </c>
      <c r="BD39" s="6">
        <v>389018.08</v>
      </c>
      <c r="BE39" s="5">
        <v>274.859</v>
      </c>
      <c r="BF39" s="5">
        <f>BG39/BE39</f>
        <v>1386.2281253297147</v>
      </c>
      <c r="BG39" s="6">
        <v>381017.2763</v>
      </c>
    </row>
    <row r="40" spans="1:59" ht="15">
      <c r="A40" s="9" t="s">
        <v>3</v>
      </c>
      <c r="B40" s="9" t="s">
        <v>13</v>
      </c>
      <c r="C40" s="11">
        <f>C38+C39</f>
        <v>1010.61231</v>
      </c>
      <c r="D40" s="11">
        <f>E40/C40</f>
        <v>17013.87501714506</v>
      </c>
      <c r="E40" s="11">
        <f>E38+E39</f>
        <v>17194431.533128258</v>
      </c>
      <c r="F40" s="11">
        <f>F38+F39</f>
        <v>934.11025</v>
      </c>
      <c r="G40" s="11">
        <f>H40/F40</f>
        <v>16133.521055966614</v>
      </c>
      <c r="H40" s="11">
        <f>H38+H39</f>
        <v>15070487.386969237</v>
      </c>
      <c r="I40" s="11">
        <f>I38+I39</f>
        <v>953.06168</v>
      </c>
      <c r="J40" s="11">
        <f>K40/I40</f>
        <v>11120.512056239098</v>
      </c>
      <c r="K40" s="11">
        <f>K38+K39</f>
        <v>10598533.90277949</v>
      </c>
      <c r="L40" s="11">
        <f>L38+L39</f>
        <v>907.56194</v>
      </c>
      <c r="M40" s="11">
        <f>N40/L40</f>
        <v>9263.817123665072</v>
      </c>
      <c r="N40" s="11">
        <f>N38+N39</f>
        <v>8407487.840558693</v>
      </c>
      <c r="O40" s="11">
        <f>O38+O39</f>
        <v>783.54478</v>
      </c>
      <c r="P40" s="11">
        <f>Q40/O40</f>
        <v>9951.967756990121</v>
      </c>
      <c r="Q40" s="11">
        <f>Q38+Q39</f>
        <v>7797812.386717917</v>
      </c>
      <c r="R40" s="11">
        <f>R38+R39</f>
        <v>944.99506</v>
      </c>
      <c r="S40" s="11">
        <f>T40/R40</f>
        <v>7542.561452856452</v>
      </c>
      <c r="T40" s="11">
        <f>T38+T39</f>
        <v>7127683.31269577</v>
      </c>
      <c r="U40" s="11">
        <f>U38+U39</f>
        <v>900.6236</v>
      </c>
      <c r="V40" s="11">
        <f>W40/U40</f>
        <v>7204.893965301543</v>
      </c>
      <c r="W40" s="11">
        <f>W38+W39</f>
        <v>6488897.540648151</v>
      </c>
      <c r="X40" s="11">
        <f>X38+X39</f>
        <v>791.08744</v>
      </c>
      <c r="Y40" s="11">
        <f>Z40/X40</f>
        <v>10307.059878389304</v>
      </c>
      <c r="Z40" s="11">
        <f>Z38+Z39</f>
        <v>8153785.613121705</v>
      </c>
      <c r="AA40" s="11">
        <f>AA38+AA39</f>
        <v>789.4047</v>
      </c>
      <c r="AB40" s="11">
        <f>AC40/AA40</f>
        <v>8364.964809623092</v>
      </c>
      <c r="AC40" s="11">
        <f>AC38+AC39</f>
        <v>6603342.536051074</v>
      </c>
      <c r="AD40" s="11">
        <f>AD38+AD39</f>
        <v>731.6143999999999</v>
      </c>
      <c r="AE40" s="11">
        <f>AF40/AD40</f>
        <v>5266.321864382598</v>
      </c>
      <c r="AF40" s="11">
        <f>AF38+AF39</f>
        <v>3852916.9110171553</v>
      </c>
      <c r="AG40" s="11">
        <f>AG38+AG39</f>
        <v>768.92908</v>
      </c>
      <c r="AH40" s="11">
        <f>AI40/AG40</f>
        <v>5768.649639221864</v>
      </c>
      <c r="AI40" s="11">
        <f>AI38+AI39</f>
        <v>4435682.4599292</v>
      </c>
      <c r="AJ40" s="11">
        <f>AJ38+AJ39</f>
        <v>698.61481</v>
      </c>
      <c r="AK40" s="11">
        <f>AL40/AJ40</f>
        <v>4056.3350118530916</v>
      </c>
      <c r="AL40" s="11">
        <f>AL38+AL39</f>
        <v>2833815.7136020954</v>
      </c>
      <c r="AM40" s="11">
        <f>AM38+AM39</f>
        <v>746.18408</v>
      </c>
      <c r="AN40" s="11">
        <f>AO40/AM40</f>
        <v>3273.8401953976822</v>
      </c>
      <c r="AO40" s="11">
        <f>AO38+AO39</f>
        <v>2442887.43426984</v>
      </c>
      <c r="AP40" s="11">
        <f>AP38+AP39</f>
        <v>725.80008</v>
      </c>
      <c r="AQ40" s="11">
        <f>AR40/AP40</f>
        <v>3041.10283578365</v>
      </c>
      <c r="AR40" s="11">
        <f>AR38+AR39</f>
        <v>2207232.6815</v>
      </c>
      <c r="AS40" s="11">
        <v>691.452</v>
      </c>
      <c r="AT40" s="11">
        <v>2885.0937946524127</v>
      </c>
      <c r="AU40" s="11">
        <v>1994903.8745000002</v>
      </c>
      <c r="AV40" s="11">
        <f>AV38+AV39</f>
        <v>630.878</v>
      </c>
      <c r="AW40" s="11">
        <f>AX40/AV40</f>
        <v>2193.6090227112054</v>
      </c>
      <c r="AX40" s="11">
        <f>AX38+AX39</f>
        <v>1383899.67303</v>
      </c>
      <c r="AY40" s="10">
        <f>AY38+AY39</f>
        <v>720.48505</v>
      </c>
      <c r="AZ40" s="10">
        <f>BA40/AY40</f>
        <v>1697.5700858660437</v>
      </c>
      <c r="BA40" s="11">
        <f>BA38+BA39</f>
        <v>1223073.8681937007</v>
      </c>
      <c r="BB40" s="10">
        <f>BB38+BB39</f>
        <v>723.737</v>
      </c>
      <c r="BC40" s="10">
        <f>BD40/BB40</f>
        <v>1600.000663224348</v>
      </c>
      <c r="BD40" s="11">
        <f>BD38+BD39</f>
        <v>1157979.68</v>
      </c>
      <c r="BE40" s="10">
        <f>BE38+BE39</f>
        <v>768.716</v>
      </c>
      <c r="BF40" s="10">
        <f>BG40/BE40</f>
        <v>1388.651350986148</v>
      </c>
      <c r="BG40" s="11">
        <f>BG38+BG39</f>
        <v>1067478.5119246677</v>
      </c>
    </row>
    <row r="41" spans="1:59" ht="15">
      <c r="A41" s="21" t="s">
        <v>36</v>
      </c>
      <c r="B41" s="71" t="s">
        <v>63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80"/>
      <c r="AY41" s="3"/>
      <c r="AZ41" s="3"/>
      <c r="BA41" s="3"/>
      <c r="BB41" s="3"/>
      <c r="BC41" s="3"/>
      <c r="BD41" s="3"/>
      <c r="BE41" s="3"/>
      <c r="BF41" s="3"/>
      <c r="BG41" s="3"/>
    </row>
    <row r="42" spans="1:59" ht="14.25">
      <c r="A42" s="4" t="s">
        <v>1</v>
      </c>
      <c r="B42" s="4" t="s">
        <v>11</v>
      </c>
      <c r="C42" s="63">
        <f>C38</f>
        <v>668.946</v>
      </c>
      <c r="D42" s="64">
        <f>E42/C42</f>
        <v>1868.3565762283365</v>
      </c>
      <c r="E42" s="64">
        <f>E46-E38</f>
        <v>1249829.6582416408</v>
      </c>
      <c r="F42" s="63">
        <f>F38</f>
        <v>627.11653</v>
      </c>
      <c r="G42" s="64">
        <f>H42/F42</f>
        <v>1597.0846169134818</v>
      </c>
      <c r="H42" s="64">
        <f>H46-H38</f>
        <v>1001558.1630751621</v>
      </c>
      <c r="I42" s="63">
        <f>I38</f>
        <v>623.67577</v>
      </c>
      <c r="J42" s="64">
        <f>K42/I42</f>
        <v>1464.5478683584413</v>
      </c>
      <c r="K42" s="64">
        <f>K46-K38</f>
        <v>913403.0195003096</v>
      </c>
      <c r="L42" s="36">
        <f>L38</f>
        <v>587.0339</v>
      </c>
      <c r="M42" s="31">
        <f>N42/L42</f>
        <v>1340.830121654143</v>
      </c>
      <c r="N42" s="31">
        <f>N46-N38</f>
        <v>787112.735552106</v>
      </c>
      <c r="O42" s="36">
        <f>O38</f>
        <v>567.982</v>
      </c>
      <c r="P42" s="31">
        <v>1315.259743937809</v>
      </c>
      <c r="Q42" s="31">
        <f>O42*P42</f>
        <v>747043.8598812845</v>
      </c>
      <c r="R42" s="36">
        <f>R38</f>
        <v>616.081</v>
      </c>
      <c r="S42" s="31">
        <v>1181.5515841979009</v>
      </c>
      <c r="T42" s="31">
        <f>R42*S42</f>
        <v>727931.481544227</v>
      </c>
      <c r="U42" s="36">
        <f>U38</f>
        <v>590.566</v>
      </c>
      <c r="V42" s="31">
        <v>1140.9537453931443</v>
      </c>
      <c r="W42" s="31">
        <f>U42*V42</f>
        <v>673808.4896018477</v>
      </c>
      <c r="X42" s="36">
        <f>X38</f>
        <v>507.459</v>
      </c>
      <c r="Y42" s="31">
        <v>1097.7797689017157</v>
      </c>
      <c r="Z42" s="31">
        <f>X42*Y42</f>
        <v>557078.2237470958</v>
      </c>
      <c r="AA42" s="5">
        <f>AA38</f>
        <v>502.776</v>
      </c>
      <c r="AB42" s="6">
        <v>1048.9928077691184</v>
      </c>
      <c r="AC42" s="6">
        <f>AA42*AB42</f>
        <v>527408.4079189262</v>
      </c>
      <c r="AD42" s="8">
        <f>AD38</f>
        <v>494.1794</v>
      </c>
      <c r="AE42" s="8">
        <v>988.1758185850003</v>
      </c>
      <c r="AF42" s="6">
        <f>AD42*AE42</f>
        <v>488336.13312284433</v>
      </c>
      <c r="AG42" s="8">
        <v>495.142</v>
      </c>
      <c r="AH42" s="8">
        <v>1070.1232748019759</v>
      </c>
      <c r="AI42" s="6">
        <f>AG42*AH42</f>
        <v>529862.978532</v>
      </c>
      <c r="AJ42" s="8">
        <v>480.68</v>
      </c>
      <c r="AK42" s="8">
        <v>882.0292761700184</v>
      </c>
      <c r="AL42" s="6">
        <f>AJ42*AK42</f>
        <v>423973.83246940444</v>
      </c>
      <c r="AM42" s="8">
        <v>484.299</v>
      </c>
      <c r="AN42" s="8">
        <v>859.7092814149942</v>
      </c>
      <c r="AO42" s="6">
        <v>416356.34528000024</v>
      </c>
      <c r="AP42" s="8">
        <v>486.48</v>
      </c>
      <c r="AQ42" s="8">
        <v>776.9942892821905</v>
      </c>
      <c r="AR42" s="6">
        <v>377992.18185000005</v>
      </c>
      <c r="AS42" s="8">
        <v>436.707</v>
      </c>
      <c r="AT42" s="8">
        <v>634.81</v>
      </c>
      <c r="AU42" s="6">
        <v>277225.97066999995</v>
      </c>
      <c r="AV42" s="8">
        <v>453.312</v>
      </c>
      <c r="AW42" s="8">
        <v>641.82</v>
      </c>
      <c r="AX42" s="6">
        <v>290944.70784000005</v>
      </c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14.25">
      <c r="A43" s="4" t="s">
        <v>2</v>
      </c>
      <c r="B43" s="4" t="s">
        <v>12</v>
      </c>
      <c r="C43" s="63">
        <f>C39</f>
        <v>341.66630999999995</v>
      </c>
      <c r="D43" s="64">
        <f>E43/C43</f>
        <v>2288.710000000001</v>
      </c>
      <c r="E43" s="64">
        <f>E47-E39</f>
        <v>781975.1003601002</v>
      </c>
      <c r="F43" s="63">
        <f>F39</f>
        <v>306.99372</v>
      </c>
      <c r="G43" s="64">
        <f>H43/F43</f>
        <v>2053.7299999999987</v>
      </c>
      <c r="H43" s="64">
        <f>H47-H39</f>
        <v>630482.2125755996</v>
      </c>
      <c r="I43" s="63">
        <v>329.38591</v>
      </c>
      <c r="J43" s="64">
        <f>K43/I43</f>
        <v>1740.22</v>
      </c>
      <c r="K43" s="64">
        <f>1740.22*I43</f>
        <v>573203.9483002</v>
      </c>
      <c r="L43" s="36">
        <f>L39</f>
        <v>320.52804</v>
      </c>
      <c r="M43" s="31">
        <f>N43/L43</f>
        <v>1927.7042616277822</v>
      </c>
      <c r="N43" s="31">
        <v>617883.2686792002</v>
      </c>
      <c r="O43" s="36">
        <v>215.56278</v>
      </c>
      <c r="P43" s="31">
        <f>Q43/O43</f>
        <v>1701.9776745818554</v>
      </c>
      <c r="Q43" s="31">
        <f>2521894.32948-Q39</f>
        <v>366883.0390308001</v>
      </c>
      <c r="R43" s="63">
        <v>328.91406</v>
      </c>
      <c r="S43" s="64">
        <f>T43/R43</f>
        <v>1724.9337157858195</v>
      </c>
      <c r="T43" s="31">
        <v>567354.95169</v>
      </c>
      <c r="U43" s="8">
        <v>310.0576</v>
      </c>
      <c r="V43" s="7">
        <f>W43/U43</f>
        <v>1789.8790114481953</v>
      </c>
      <c r="W43" s="31">
        <v>554965.59058</v>
      </c>
      <c r="X43" s="8">
        <v>283.62844</v>
      </c>
      <c r="Y43" s="7">
        <f>Z43/X43</f>
        <v>1650.64</v>
      </c>
      <c r="Z43" s="31">
        <v>468168.44820160005</v>
      </c>
      <c r="AA43" s="5">
        <v>286.6287</v>
      </c>
      <c r="AB43" s="6">
        <f>AC43/AA43</f>
        <v>1309.8427911091946</v>
      </c>
      <c r="AC43" s="6">
        <v>375438.53642</v>
      </c>
      <c r="AD43" s="5">
        <v>237.435</v>
      </c>
      <c r="AE43" s="32">
        <v>1368.515</v>
      </c>
      <c r="AF43" s="6">
        <f>AD43*AE43</f>
        <v>324933.359025</v>
      </c>
      <c r="AG43" s="16">
        <v>273.78708</v>
      </c>
      <c r="AH43" s="16">
        <v>1434.545</v>
      </c>
      <c r="AI43" s="6">
        <f>AG43*AH43</f>
        <v>392759.88667860004</v>
      </c>
      <c r="AJ43" s="16">
        <v>217.93481</v>
      </c>
      <c r="AK43" s="16">
        <v>1473.586509463541</v>
      </c>
      <c r="AL43" s="6">
        <f>AJ43*AK43</f>
        <v>321145.7959585</v>
      </c>
      <c r="AM43" s="16">
        <v>261.88508</v>
      </c>
      <c r="AN43" s="16">
        <v>1190.3372894712447</v>
      </c>
      <c r="AO43" s="6">
        <v>311731.5762801601</v>
      </c>
      <c r="AP43" s="16">
        <v>239.32008000000002</v>
      </c>
      <c r="AQ43" s="16">
        <v>1063.419474663388</v>
      </c>
      <c r="AR43" s="6">
        <v>254497.63375</v>
      </c>
      <c r="AS43" s="16">
        <v>254.745</v>
      </c>
      <c r="AT43" s="16">
        <v>958.2070024141789</v>
      </c>
      <c r="AU43" s="17">
        <v>244098.44283</v>
      </c>
      <c r="AV43" s="16">
        <v>177.566</v>
      </c>
      <c r="AW43" s="16">
        <v>1321.107567214444</v>
      </c>
      <c r="AX43" s="17">
        <v>234583.78627999997</v>
      </c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5">
      <c r="A44" s="9" t="s">
        <v>3</v>
      </c>
      <c r="B44" s="9" t="s">
        <v>13</v>
      </c>
      <c r="C44" s="11">
        <f>C42+C43</f>
        <v>1010.61231</v>
      </c>
      <c r="D44" s="11">
        <f>E44/C44</f>
        <v>2010.46903792587</v>
      </c>
      <c r="E44" s="11">
        <f>E42+E43</f>
        <v>2031804.758601741</v>
      </c>
      <c r="F44" s="11">
        <f>F42+F43</f>
        <v>934.11025</v>
      </c>
      <c r="G44" s="11">
        <f>H44/F44</f>
        <v>1747.1603332163004</v>
      </c>
      <c r="H44" s="11">
        <f>H42+H43</f>
        <v>1632040.3756507616</v>
      </c>
      <c r="I44" s="11">
        <f>I42+I43</f>
        <v>953.06168</v>
      </c>
      <c r="J44" s="11">
        <f>K44/I44</f>
        <v>1559.8224112845558</v>
      </c>
      <c r="K44" s="11">
        <f>K42+K43</f>
        <v>1486606.9678005097</v>
      </c>
      <c r="L44" s="11">
        <f>L42+L43</f>
        <v>907.56194</v>
      </c>
      <c r="M44" s="11">
        <f>N44/L44</f>
        <v>1548.099300232121</v>
      </c>
      <c r="N44" s="11">
        <f>N42+N43</f>
        <v>1404996.0042313063</v>
      </c>
      <c r="O44" s="11">
        <f>O42+O43</f>
        <v>783.54478</v>
      </c>
      <c r="P44" s="11">
        <f>Q44/O44</f>
        <v>1421.6505901705896</v>
      </c>
      <c r="Q44" s="11">
        <f>Q42+Q43</f>
        <v>1113926.8989120848</v>
      </c>
      <c r="R44" s="11">
        <f>R42+R43</f>
        <v>944.99506</v>
      </c>
      <c r="S44" s="11">
        <f>T44/R44</f>
        <v>1370.6806395731073</v>
      </c>
      <c r="T44" s="11">
        <f>T42+T43</f>
        <v>1295286.433234227</v>
      </c>
      <c r="U44" s="11">
        <f>U42+U43</f>
        <v>900.6236</v>
      </c>
      <c r="V44" s="11">
        <f>W44/U44</f>
        <v>1364.3591842161895</v>
      </c>
      <c r="W44" s="11">
        <f>W42+W43</f>
        <v>1228774.0801818478</v>
      </c>
      <c r="X44" s="11">
        <f>X42+X43</f>
        <v>791.08744</v>
      </c>
      <c r="Y44" s="11">
        <f>Z44/X44</f>
        <v>1295.9966498124352</v>
      </c>
      <c r="Z44" s="11">
        <f>Z42+Z43</f>
        <v>1025246.6719486958</v>
      </c>
      <c r="AA44" s="11">
        <f>AA42+AA43</f>
        <v>789.4047</v>
      </c>
      <c r="AB44" s="11">
        <f>AC44/AA44</f>
        <v>1143.7060665320666</v>
      </c>
      <c r="AC44" s="11">
        <f>AC42+AC43</f>
        <v>902846.9443389262</v>
      </c>
      <c r="AD44" s="11">
        <f>AD42+AD43</f>
        <v>731.6143999999999</v>
      </c>
      <c r="AE44" s="11">
        <f>AF44/AD44</f>
        <v>1111.6094655160482</v>
      </c>
      <c r="AF44" s="11">
        <f>AF42+AF43</f>
        <v>813269.4921478443</v>
      </c>
      <c r="AG44" s="11">
        <f>AG42+AG43</f>
        <v>768.92908</v>
      </c>
      <c r="AH44" s="11">
        <f>AI44/AG44</f>
        <v>1199.8803130330302</v>
      </c>
      <c r="AI44" s="11">
        <f>AI42+AI43</f>
        <v>922622.8652106</v>
      </c>
      <c r="AJ44" s="11">
        <f>AJ42+AJ43</f>
        <v>698.61481</v>
      </c>
      <c r="AK44" s="11">
        <f>AL44/AJ44</f>
        <v>1066.5671808874256</v>
      </c>
      <c r="AL44" s="11">
        <f>AL42+AL43</f>
        <v>745119.6284279044</v>
      </c>
      <c r="AM44" s="11">
        <f>AM42+AM43</f>
        <v>746.18408</v>
      </c>
      <c r="AN44" s="11">
        <f>AO44/AM44</f>
        <v>975.7483991887905</v>
      </c>
      <c r="AO44" s="11">
        <f>AO42+AO43</f>
        <v>728087.9215601604</v>
      </c>
      <c r="AP44" s="11">
        <f>AP42+AP43</f>
        <v>725.80008</v>
      </c>
      <c r="AQ44" s="11">
        <f>AR44/AP44</f>
        <v>871.4380626687174</v>
      </c>
      <c r="AR44" s="11">
        <f>AR42+AR43</f>
        <v>632489.8156000001</v>
      </c>
      <c r="AS44" s="11">
        <f>SUM(AS42:AS43)</f>
        <v>691.452</v>
      </c>
      <c r="AT44" s="11">
        <f>AU44/AS44</f>
        <v>753.9560425018656</v>
      </c>
      <c r="AU44" s="11">
        <v>521324.41349999997</v>
      </c>
      <c r="AV44" s="11">
        <f>SUM(AV42:AV43)</f>
        <v>630.878</v>
      </c>
      <c r="AW44" s="11">
        <f>AX44/AV44</f>
        <v>833.0112860489667</v>
      </c>
      <c r="AX44" s="11">
        <f>AX42+AX43</f>
        <v>525528.49412</v>
      </c>
      <c r="AY44" s="3"/>
      <c r="AZ44" s="3"/>
      <c r="BA44" s="3"/>
      <c r="BB44" s="3"/>
      <c r="BC44" s="3"/>
      <c r="BD44" s="3"/>
      <c r="BE44" s="3"/>
      <c r="BF44" s="3"/>
      <c r="BG44" s="3"/>
    </row>
    <row r="45" spans="1:50" s="27" customFormat="1" ht="15">
      <c r="A45" s="68" t="s">
        <v>65</v>
      </c>
      <c r="B45" s="72" t="s">
        <v>64</v>
      </c>
      <c r="C45" s="100"/>
      <c r="D45" s="100"/>
      <c r="E45" s="100"/>
      <c r="F45" s="100"/>
      <c r="G45" s="100"/>
      <c r="H45" s="100"/>
      <c r="I45" s="100"/>
      <c r="J45" s="100"/>
      <c r="K45" s="10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3"/>
      <c r="AB45" s="74"/>
      <c r="AC45" s="74"/>
      <c r="AD45" s="73"/>
      <c r="AE45" s="74"/>
      <c r="AF45" s="74"/>
      <c r="AG45" s="73"/>
      <c r="AH45" s="74"/>
      <c r="AI45" s="74"/>
      <c r="AJ45" s="73"/>
      <c r="AK45" s="74"/>
      <c r="AL45" s="74"/>
      <c r="AM45" s="73"/>
      <c r="AN45" s="74"/>
      <c r="AO45" s="74"/>
      <c r="AP45" s="73"/>
      <c r="AQ45" s="73"/>
      <c r="AR45" s="75"/>
      <c r="AS45" s="76"/>
      <c r="AT45" s="74"/>
      <c r="AU45" s="74"/>
      <c r="AV45" s="76"/>
      <c r="AW45" s="74"/>
      <c r="AX45" s="77"/>
    </row>
    <row r="46" spans="1:59" ht="14.25">
      <c r="A46" s="4" t="s">
        <v>1</v>
      </c>
      <c r="B46" s="4" t="s">
        <v>11</v>
      </c>
      <c r="C46" s="101">
        <f>C42</f>
        <v>668.946</v>
      </c>
      <c r="D46" s="64">
        <f>E46/C46</f>
        <v>18868.42917767652</v>
      </c>
      <c r="E46" s="64">
        <v>12621960.224689998</v>
      </c>
      <c r="F46" s="101">
        <f>F42</f>
        <v>627.11653</v>
      </c>
      <c r="G46" s="64">
        <f>H46/F46</f>
        <v>17739.620193522882</v>
      </c>
      <c r="H46" s="64">
        <v>11124809.059279999</v>
      </c>
      <c r="I46" s="101">
        <f>I42</f>
        <v>623.67577</v>
      </c>
      <c r="J46" s="64">
        <f>K46/I46</f>
        <v>12589.56670457151</v>
      </c>
      <c r="K46" s="64">
        <v>7851807.70844</v>
      </c>
      <c r="L46" s="37">
        <f>L42</f>
        <v>587.0339</v>
      </c>
      <c r="M46" s="31">
        <f>N46/L46</f>
        <v>10604.94598185897</v>
      </c>
      <c r="N46" s="31">
        <v>6225462.79902</v>
      </c>
      <c r="O46" s="37">
        <f>O42</f>
        <v>567.982</v>
      </c>
      <c r="P46" s="31">
        <f>Q46/O46</f>
        <v>11250.083552207645</v>
      </c>
      <c r="Q46" s="31">
        <f>Q38+Q42</f>
        <v>6389844.956150002</v>
      </c>
      <c r="R46" s="37">
        <f>R42</f>
        <v>616.081</v>
      </c>
      <c r="S46" s="31">
        <f>T46/R46</f>
        <v>8720.574068620848</v>
      </c>
      <c r="T46" s="31">
        <v>5372579.992770001</v>
      </c>
      <c r="U46" s="37">
        <f>U42</f>
        <v>590.566</v>
      </c>
      <c r="V46" s="31">
        <f aca="true" t="shared" si="0" ref="V46:W48">V38+V42</f>
        <v>8357.34079406874</v>
      </c>
      <c r="W46" s="31">
        <f t="shared" si="0"/>
        <v>4935561.32339</v>
      </c>
      <c r="X46" s="37">
        <f>X42</f>
        <v>507.459</v>
      </c>
      <c r="Y46" s="31">
        <f aca="true" t="shared" si="1" ref="Y46:Z48">Y38+Y42</f>
        <v>11431.550314862876</v>
      </c>
      <c r="Z46" s="31">
        <f t="shared" si="1"/>
        <v>5801043.09123</v>
      </c>
      <c r="AA46" s="18">
        <f>AA42</f>
        <v>502.776</v>
      </c>
      <c r="AB46" s="6">
        <f aca="true" t="shared" si="2" ref="AB46:AC48">AB38+AB42</f>
        <v>9383.48337166054</v>
      </c>
      <c r="AC46" s="6">
        <f t="shared" si="2"/>
        <v>4717790.23567</v>
      </c>
      <c r="AD46" s="18">
        <f>AD42</f>
        <v>494.1794</v>
      </c>
      <c r="AE46" s="34">
        <f aca="true" t="shared" si="3" ref="AE46:AF48">AE38+AE42</f>
        <v>6223.3117145109645</v>
      </c>
      <c r="AF46" s="6">
        <f t="shared" si="3"/>
        <v>3075432.4490899993</v>
      </c>
      <c r="AG46" s="18">
        <f>AG42</f>
        <v>495.142</v>
      </c>
      <c r="AH46" s="6">
        <f aca="true" t="shared" si="4" ref="AH46:AI48">AH38+AH42</f>
        <v>6794.266043579417</v>
      </c>
      <c r="AI46" s="6">
        <f t="shared" si="4"/>
        <v>3364126.47735</v>
      </c>
      <c r="AJ46" s="18">
        <f>AJ42</f>
        <v>480.68</v>
      </c>
      <c r="AK46" s="6">
        <f aca="true" t="shared" si="5" ref="AK46:AL48">AK38+AK42</f>
        <v>4947.515941353915</v>
      </c>
      <c r="AL46" s="6">
        <f t="shared" si="5"/>
        <v>2378171.96269</v>
      </c>
      <c r="AM46" s="18">
        <f>AM42</f>
        <v>484.299</v>
      </c>
      <c r="AN46" s="6">
        <f aca="true" t="shared" si="6" ref="AN46:AO48">AN38+AN42</f>
        <v>4131.30114057638</v>
      </c>
      <c r="AO46" s="6">
        <f t="shared" si="6"/>
        <v>2000785.01108</v>
      </c>
      <c r="AP46" s="18">
        <f>AP42</f>
        <v>486.48</v>
      </c>
      <c r="AQ46" s="6">
        <f aca="true" t="shared" si="7" ref="AQ46:AR48">AQ38+AQ42</f>
        <v>3813.720233822562</v>
      </c>
      <c r="AR46" s="6">
        <f t="shared" si="7"/>
        <v>1855298.61935</v>
      </c>
      <c r="AS46" s="18">
        <f>AS42</f>
        <v>436.707</v>
      </c>
      <c r="AT46" s="6">
        <f aca="true" t="shared" si="8" ref="AT46:AU48">AT38+AT42</f>
        <v>3434.81</v>
      </c>
      <c r="AU46" s="6">
        <f t="shared" si="8"/>
        <v>1500005.57067</v>
      </c>
      <c r="AV46" s="18">
        <f>AV42</f>
        <v>453.312</v>
      </c>
      <c r="AW46" s="6">
        <f aca="true" t="shared" si="9" ref="AW46:AX48">AW38+AW42</f>
        <v>2813.51</v>
      </c>
      <c r="AX46" s="6">
        <f t="shared" si="9"/>
        <v>1275397.8451200002</v>
      </c>
      <c r="AY46" s="5">
        <v>278.337</v>
      </c>
      <c r="AZ46" s="5">
        <f>BA46/AY46</f>
        <v>2500.1960696685237</v>
      </c>
      <c r="BA46" s="6">
        <v>695897.0734433279</v>
      </c>
      <c r="BB46" s="5">
        <v>305.484</v>
      </c>
      <c r="BC46" s="5">
        <f>BD46/BB46</f>
        <v>1499.2983578812025</v>
      </c>
      <c r="BD46" s="6">
        <v>458011.65955898125</v>
      </c>
      <c r="BE46" s="5">
        <v>305.726</v>
      </c>
      <c r="BF46" s="5">
        <f>BG46/BE46</f>
        <v>1299.7226618306358</v>
      </c>
      <c r="BG46" s="6">
        <v>397359.01051083294</v>
      </c>
    </row>
    <row r="47" spans="1:59" ht="14.25">
      <c r="A47" s="4" t="s">
        <v>2</v>
      </c>
      <c r="B47" s="4" t="s">
        <v>12</v>
      </c>
      <c r="C47" s="101">
        <f>C43</f>
        <v>341.66630999999995</v>
      </c>
      <c r="D47" s="64">
        <f>E47/C47</f>
        <v>19329.608667123197</v>
      </c>
      <c r="E47" s="31">
        <v>6604276.06704</v>
      </c>
      <c r="F47" s="101">
        <f>F43</f>
        <v>306.99372</v>
      </c>
      <c r="G47" s="64">
        <f>H47/F47</f>
        <v>18168.836493919156</v>
      </c>
      <c r="H47" s="64">
        <v>5577718.70334</v>
      </c>
      <c r="I47" s="101">
        <f>I39</f>
        <v>329.38591</v>
      </c>
      <c r="J47" s="64">
        <f>K47/I47</f>
        <v>12852.198693441378</v>
      </c>
      <c r="K47" s="64">
        <f>K39+K43</f>
        <v>4233333.16214</v>
      </c>
      <c r="L47" s="37">
        <f>L39</f>
        <v>320.52804</v>
      </c>
      <c r="M47" s="31">
        <f>N47/L47</f>
        <v>11190.974261627784</v>
      </c>
      <c r="N47" s="31">
        <f>N39+N43</f>
        <v>3587021.04577</v>
      </c>
      <c r="O47" s="37">
        <f>O39</f>
        <v>215.56278</v>
      </c>
      <c r="P47" s="31">
        <f>Q47/O47</f>
        <v>11699.117674581854</v>
      </c>
      <c r="Q47" s="31">
        <f>Q39+Q43</f>
        <v>2521894.32948</v>
      </c>
      <c r="R47" s="37">
        <f>R39</f>
        <v>328.91406</v>
      </c>
      <c r="S47" s="31">
        <f>T47/R47</f>
        <v>9274.12392513716</v>
      </c>
      <c r="T47" s="31">
        <f>T39+T43</f>
        <v>3050389.75316</v>
      </c>
      <c r="U47" s="37">
        <f>U43</f>
        <v>310.0576</v>
      </c>
      <c r="V47" s="31">
        <f t="shared" si="0"/>
        <v>8972.88212719185</v>
      </c>
      <c r="W47" s="31">
        <f t="shared" si="0"/>
        <v>2782110.29744</v>
      </c>
      <c r="X47" s="37">
        <f>X43</f>
        <v>283.62844</v>
      </c>
      <c r="Y47" s="31">
        <f t="shared" si="1"/>
        <v>11909.91</v>
      </c>
      <c r="Z47" s="31">
        <f t="shared" si="1"/>
        <v>3377989.1938404003</v>
      </c>
      <c r="AA47" s="5">
        <f>AA43</f>
        <v>286.6287</v>
      </c>
      <c r="AB47" s="6">
        <f t="shared" si="2"/>
        <v>9728.26253867809</v>
      </c>
      <c r="AC47" s="6">
        <f t="shared" si="2"/>
        <v>2788399.24472</v>
      </c>
      <c r="AD47" s="5">
        <f>AD43</f>
        <v>237.435</v>
      </c>
      <c r="AE47" s="6">
        <f t="shared" si="3"/>
        <v>6699.745</v>
      </c>
      <c r="AF47" s="6">
        <f t="shared" si="3"/>
        <v>1590753.9540749998</v>
      </c>
      <c r="AG47" s="5">
        <f>AG43</f>
        <v>273.78708</v>
      </c>
      <c r="AH47" s="6">
        <f t="shared" si="4"/>
        <v>7283.685</v>
      </c>
      <c r="AI47" s="6">
        <f t="shared" si="4"/>
        <v>1994178.8477898</v>
      </c>
      <c r="AJ47" s="5">
        <f>AJ43</f>
        <v>217.93481</v>
      </c>
      <c r="AK47" s="6">
        <f t="shared" si="5"/>
        <v>5509.736509463541</v>
      </c>
      <c r="AL47" s="6">
        <f t="shared" si="5"/>
        <v>1200763.37934</v>
      </c>
      <c r="AM47" s="5">
        <f>AM43</f>
        <v>261.88508</v>
      </c>
      <c r="AN47" s="6">
        <f t="shared" si="6"/>
        <v>4468.335289471244</v>
      </c>
      <c r="AO47" s="6">
        <f t="shared" si="6"/>
        <v>1170190.3447500002</v>
      </c>
      <c r="AP47" s="5">
        <f>AP43</f>
        <v>239.32008000000002</v>
      </c>
      <c r="AQ47" s="6">
        <f t="shared" si="7"/>
        <v>4113.4194746633875</v>
      </c>
      <c r="AR47" s="6">
        <f t="shared" si="7"/>
        <v>984423.8777500001</v>
      </c>
      <c r="AS47" s="5">
        <f>AS43</f>
        <v>254.745</v>
      </c>
      <c r="AT47" s="6">
        <f t="shared" si="8"/>
        <v>3989.1763030874013</v>
      </c>
      <c r="AU47" s="6">
        <f t="shared" si="8"/>
        <v>1016222.7173300001</v>
      </c>
      <c r="AV47" s="5">
        <f>AV43</f>
        <v>177.566</v>
      </c>
      <c r="AW47" s="6">
        <f t="shared" si="9"/>
        <v>3570.6741269725053</v>
      </c>
      <c r="AX47" s="6">
        <f t="shared" si="9"/>
        <v>634030.3220299999</v>
      </c>
      <c r="AY47" s="8">
        <v>168.932</v>
      </c>
      <c r="AZ47" s="8">
        <f>BA47/AY47</f>
        <v>2547.744753036725</v>
      </c>
      <c r="BA47" s="7">
        <v>430395.61662</v>
      </c>
      <c r="BB47" s="7">
        <v>151.108</v>
      </c>
      <c r="BC47" s="8">
        <f>BD47/BB47</f>
        <v>1491.5854838261375</v>
      </c>
      <c r="BD47" s="7">
        <v>225390.49929</v>
      </c>
      <c r="BE47" s="7">
        <v>178.008</v>
      </c>
      <c r="BF47" s="8">
        <f>BG47/BE47</f>
        <v>1314.1831124443845</v>
      </c>
      <c r="BG47" s="7">
        <v>233935.10748</v>
      </c>
    </row>
    <row r="48" spans="1:59" ht="15">
      <c r="A48" s="9" t="s">
        <v>3</v>
      </c>
      <c r="B48" s="9" t="s">
        <v>13</v>
      </c>
      <c r="C48" s="11">
        <f>C44</f>
        <v>1010.61231</v>
      </c>
      <c r="D48" s="11">
        <f>D40+D44</f>
        <v>19024.344055070927</v>
      </c>
      <c r="E48" s="11">
        <f>E40+E44</f>
        <v>19226236.291729998</v>
      </c>
      <c r="F48" s="11">
        <f>F44</f>
        <v>934.11025</v>
      </c>
      <c r="G48" s="11">
        <f>G40+G44</f>
        <v>17880.681389182915</v>
      </c>
      <c r="H48" s="11">
        <f>H40+H44</f>
        <v>16702527.762619998</v>
      </c>
      <c r="I48" s="11">
        <f>I44</f>
        <v>953.06168</v>
      </c>
      <c r="J48" s="11">
        <f>J40+J44</f>
        <v>12680.334467523655</v>
      </c>
      <c r="K48" s="11">
        <f>K40+K44</f>
        <v>12085140.870579999</v>
      </c>
      <c r="L48" s="11">
        <f>L44</f>
        <v>907.56194</v>
      </c>
      <c r="M48" s="11">
        <f>M40+M44</f>
        <v>10811.916423897193</v>
      </c>
      <c r="N48" s="11">
        <f>N40+N44</f>
        <v>9812483.844789999</v>
      </c>
      <c r="O48" s="11">
        <f>O44</f>
        <v>783.54478</v>
      </c>
      <c r="P48" s="11">
        <f>P40+P44</f>
        <v>11373.618347160711</v>
      </c>
      <c r="Q48" s="11">
        <f>Q40+Q44</f>
        <v>8911739.285630003</v>
      </c>
      <c r="R48" s="11">
        <f>R44</f>
        <v>944.99506</v>
      </c>
      <c r="S48" s="11">
        <f>S40+S44</f>
        <v>8913.242092429558</v>
      </c>
      <c r="T48" s="11">
        <f>T40+T44</f>
        <v>8422969.745929997</v>
      </c>
      <c r="U48" s="11">
        <f>U44</f>
        <v>900.6236</v>
      </c>
      <c r="V48" s="11">
        <f t="shared" si="0"/>
        <v>8569.253149517732</v>
      </c>
      <c r="W48" s="11">
        <f t="shared" si="0"/>
        <v>7717671.620829999</v>
      </c>
      <c r="X48" s="11">
        <f>X44</f>
        <v>791.08744</v>
      </c>
      <c r="Y48" s="11">
        <f t="shared" si="1"/>
        <v>11603.05652820174</v>
      </c>
      <c r="Z48" s="11">
        <f t="shared" si="1"/>
        <v>9179032.2850704</v>
      </c>
      <c r="AA48" s="11">
        <f>AA44</f>
        <v>789.4047</v>
      </c>
      <c r="AB48" s="11">
        <f t="shared" si="2"/>
        <v>9508.670876155158</v>
      </c>
      <c r="AC48" s="11">
        <f t="shared" si="2"/>
        <v>7506189.48039</v>
      </c>
      <c r="AD48" s="11">
        <f>AD44</f>
        <v>731.6143999999999</v>
      </c>
      <c r="AE48" s="11">
        <f t="shared" si="3"/>
        <v>6377.931329898645</v>
      </c>
      <c r="AF48" s="11">
        <f t="shared" si="3"/>
        <v>4666186.403165</v>
      </c>
      <c r="AG48" s="11">
        <f>AG44</f>
        <v>768.92908</v>
      </c>
      <c r="AH48" s="11">
        <f t="shared" si="4"/>
        <v>6968.529952254894</v>
      </c>
      <c r="AI48" s="11">
        <f t="shared" si="4"/>
        <v>5358305.3251398</v>
      </c>
      <c r="AJ48" s="11">
        <f>AJ44</f>
        <v>698.61481</v>
      </c>
      <c r="AK48" s="11">
        <f t="shared" si="5"/>
        <v>5122.902192740517</v>
      </c>
      <c r="AL48" s="11">
        <f t="shared" si="5"/>
        <v>3578935.34203</v>
      </c>
      <c r="AM48" s="11">
        <f>AM44</f>
        <v>746.18408</v>
      </c>
      <c r="AN48" s="11">
        <f t="shared" si="6"/>
        <v>4249.588594586473</v>
      </c>
      <c r="AO48" s="11">
        <f t="shared" si="6"/>
        <v>3170975.3558300002</v>
      </c>
      <c r="AP48" s="11">
        <f>AP44</f>
        <v>725.80008</v>
      </c>
      <c r="AQ48" s="11">
        <f t="shared" si="7"/>
        <v>3912.5408984523674</v>
      </c>
      <c r="AR48" s="11">
        <f t="shared" si="7"/>
        <v>2839722.4971000003</v>
      </c>
      <c r="AS48" s="11">
        <f>AS44</f>
        <v>691.452</v>
      </c>
      <c r="AT48" s="11">
        <f t="shared" si="8"/>
        <v>3639.049837154278</v>
      </c>
      <c r="AU48" s="11">
        <f t="shared" si="8"/>
        <v>2516228.288</v>
      </c>
      <c r="AV48" s="11">
        <f>AV44</f>
        <v>630.878</v>
      </c>
      <c r="AW48" s="11">
        <f t="shared" si="9"/>
        <v>3026.620308760172</v>
      </c>
      <c r="AX48" s="11">
        <f t="shared" si="9"/>
        <v>1909428.16715</v>
      </c>
      <c r="AY48" s="10">
        <f>AY46+AY47</f>
        <v>447.269</v>
      </c>
      <c r="AZ48" s="10">
        <f>BA48/AY48</f>
        <v>2518.1550477751152</v>
      </c>
      <c r="BA48" s="11">
        <f>BA46+BA47</f>
        <v>1126292.690063328</v>
      </c>
      <c r="BB48" s="10">
        <f>BB46+BB47</f>
        <v>456.592</v>
      </c>
      <c r="BC48" s="10">
        <f>BD48/BB48</f>
        <v>1496.7458011725596</v>
      </c>
      <c r="BD48" s="11">
        <f>BD46+BD47</f>
        <v>683402.1588489813</v>
      </c>
      <c r="BE48" s="10">
        <f>BE46+BE47</f>
        <v>483.73400000000004</v>
      </c>
      <c r="BF48" s="10">
        <f>BG48/BE48</f>
        <v>1305.0439249480767</v>
      </c>
      <c r="BG48" s="11">
        <f>BG46+BG47</f>
        <v>631294.117990833</v>
      </c>
    </row>
    <row r="49" spans="1:59" s="29" customFormat="1" ht="14.25">
      <c r="A49" s="30" t="s">
        <v>30</v>
      </c>
      <c r="B49" s="30" t="s">
        <v>33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2">
        <v>80.91476000000002</v>
      </c>
      <c r="AB49" s="6">
        <f>AC49/AA49</f>
        <v>5873.750266309495</v>
      </c>
      <c r="AC49" s="6">
        <v>475273.09309836896</v>
      </c>
      <c r="AD49" s="16">
        <v>291.918</v>
      </c>
      <c r="AE49" s="6">
        <f>AF49/AD49</f>
        <v>3472.9841941915192</v>
      </c>
      <c r="AF49" s="6">
        <v>1013826.6</v>
      </c>
      <c r="AG49" s="16">
        <v>339.11086</v>
      </c>
      <c r="AH49" s="6">
        <v>3614.811485324029</v>
      </c>
      <c r="AI49" s="6">
        <f>AG49*AH49</f>
        <v>1225821.8315261088</v>
      </c>
      <c r="AJ49" s="16">
        <v>407.49783</v>
      </c>
      <c r="AK49" s="6">
        <v>3366.1970079021526</v>
      </c>
      <c r="AL49" s="6">
        <f>AJ49*AK49</f>
        <v>1371717.9760726201</v>
      </c>
      <c r="AM49" s="16">
        <v>390.887</v>
      </c>
      <c r="AN49" s="6">
        <f>AO49/AM49</f>
        <v>2690.061322070061</v>
      </c>
      <c r="AO49" s="6">
        <v>1051510</v>
      </c>
      <c r="AP49" s="6">
        <v>361.424</v>
      </c>
      <c r="AQ49" s="6">
        <f>AR49/AP49</f>
        <v>2416.4001283810708</v>
      </c>
      <c r="AR49" s="6">
        <v>873345</v>
      </c>
      <c r="AS49" s="31">
        <v>151.722</v>
      </c>
      <c r="AT49" s="6">
        <f>AU49/AS49</f>
        <v>2454.31117438473</v>
      </c>
      <c r="AU49" s="31">
        <v>372373</v>
      </c>
      <c r="AV49" s="31"/>
      <c r="AW49" s="6"/>
      <c r="AX49" s="31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1:59" ht="15">
      <c r="A50" s="9" t="s">
        <v>31</v>
      </c>
      <c r="B50" s="9" t="s">
        <v>32</v>
      </c>
      <c r="C50" s="11">
        <f>C44+C49</f>
        <v>1010.61231</v>
      </c>
      <c r="D50" s="11">
        <f>E50/C50</f>
        <v>19024.344055070927</v>
      </c>
      <c r="E50" s="11">
        <f>E44+E49+E40</f>
        <v>19226236.291729998</v>
      </c>
      <c r="F50" s="11">
        <f>F44+F49</f>
        <v>934.11025</v>
      </c>
      <c r="G50" s="11">
        <f>H50/F50</f>
        <v>17880.681389182915</v>
      </c>
      <c r="H50" s="11">
        <f>H44+H49+H40</f>
        <v>16702527.762619998</v>
      </c>
      <c r="I50" s="11">
        <f>I44+I49</f>
        <v>953.06168</v>
      </c>
      <c r="J50" s="11">
        <f>K50/I50</f>
        <v>12680.334467523653</v>
      </c>
      <c r="K50" s="11">
        <f>K44+K49+K40</f>
        <v>12085140.870579999</v>
      </c>
      <c r="L50" s="11">
        <f>L44+L49</f>
        <v>907.56194</v>
      </c>
      <c r="M50" s="11">
        <f>N50/L50</f>
        <v>10811.916423897192</v>
      </c>
      <c r="N50" s="11">
        <f>N44+N49+N40</f>
        <v>9812483.844789999</v>
      </c>
      <c r="O50" s="11">
        <f>O44+O49</f>
        <v>783.54478</v>
      </c>
      <c r="P50" s="11">
        <f>Q50/O50</f>
        <v>11373.618347160711</v>
      </c>
      <c r="Q50" s="11">
        <f>Q44+Q49+Q40</f>
        <v>8911739.285630003</v>
      </c>
      <c r="R50" s="11">
        <f>R44+R49</f>
        <v>944.99506</v>
      </c>
      <c r="S50" s="11">
        <f>T50/R50</f>
        <v>8913.24209242956</v>
      </c>
      <c r="T50" s="11">
        <f>T44+T49+T40</f>
        <v>8422969.745929997</v>
      </c>
      <c r="U50" s="11">
        <f>U44+U49</f>
        <v>900.6236</v>
      </c>
      <c r="V50" s="11">
        <f>W50/U50</f>
        <v>8569.253149517734</v>
      </c>
      <c r="W50" s="11">
        <f>W44+W49+W40</f>
        <v>7717671.620829999</v>
      </c>
      <c r="X50" s="11">
        <f>X44+X49</f>
        <v>791.08744</v>
      </c>
      <c r="Y50" s="11">
        <f>Z50/X50</f>
        <v>11603.056528201738</v>
      </c>
      <c r="Z50" s="11">
        <f>Z44+Z49+Z40</f>
        <v>9179032.2850704</v>
      </c>
      <c r="AA50" s="11">
        <f>AA44+AA49</f>
        <v>870.31946</v>
      </c>
      <c r="AB50" s="11">
        <f>AC50/AA50</f>
        <v>9170.727463095413</v>
      </c>
      <c r="AC50" s="11">
        <f>AC44+AC49+AC40</f>
        <v>7981462.57348837</v>
      </c>
      <c r="AD50" s="11">
        <f>AD44+AD49</f>
        <v>1023.5323999999999</v>
      </c>
      <c r="AE50" s="11">
        <f>AF50/AD50</f>
        <v>5549.42178983782</v>
      </c>
      <c r="AF50" s="11">
        <f>AF44+AF49+AF40</f>
        <v>5680013.003164999</v>
      </c>
      <c r="AG50" s="11">
        <f>AG44+AG49</f>
        <v>1108.0399400000001</v>
      </c>
      <c r="AH50" s="11">
        <f>AI50/AG50</f>
        <v>5942.138833610914</v>
      </c>
      <c r="AI50" s="11">
        <f>AI44+AI49+AI40</f>
        <v>6584127.156665908</v>
      </c>
      <c r="AJ50" s="11">
        <f>AJ44+AJ49</f>
        <v>1106.11264</v>
      </c>
      <c r="AK50" s="11">
        <f>AL50/AJ50</f>
        <v>4475.722579304961</v>
      </c>
      <c r="AL50" s="11">
        <f>AL44+AL49+AL40</f>
        <v>4950653.318102621</v>
      </c>
      <c r="AM50" s="11">
        <f>AM44+AM49</f>
        <v>1137.07108</v>
      </c>
      <c r="AN50" s="11">
        <f>AO50/AM50</f>
        <v>3713.4752876047123</v>
      </c>
      <c r="AO50" s="11">
        <f>AO44+AO49+AO40</f>
        <v>4222485.355830001</v>
      </c>
      <c r="AP50" s="11">
        <f>AP44+AP49</f>
        <v>1087.22408</v>
      </c>
      <c r="AQ50" s="11">
        <f>AR50/AP50</f>
        <v>3415.1814381263525</v>
      </c>
      <c r="AR50" s="11">
        <f>AR44+AR49+AR40</f>
        <v>3713067.4971000003</v>
      </c>
      <c r="AS50" s="11">
        <f>AS44+AS49</f>
        <v>843.174</v>
      </c>
      <c r="AT50" s="11">
        <f>AU50/AS50</f>
        <v>3425.8661770880035</v>
      </c>
      <c r="AU50" s="11">
        <f>AU44+AU49+AU40</f>
        <v>2888601.288</v>
      </c>
      <c r="AV50" s="11"/>
      <c r="AW50" s="11"/>
      <c r="AX50" s="11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57"/>
      <c r="N51" s="57"/>
      <c r="O51" s="3"/>
      <c r="P51" s="57"/>
      <c r="Q51" s="57"/>
      <c r="R51" s="3"/>
      <c r="S51" s="57"/>
      <c r="T51" s="5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60"/>
      <c r="N53" s="3"/>
      <c r="O53" s="3"/>
      <c r="P53" s="60"/>
      <c r="Q53" s="3"/>
      <c r="R53" s="3"/>
      <c r="S53" s="60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15.75">
      <c r="A54" s="20" t="s">
        <v>34</v>
      </c>
      <c r="B54" s="20" t="s">
        <v>35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27" customFormat="1" ht="15">
      <c r="A55" s="28"/>
      <c r="B55" s="28"/>
      <c r="C55" s="136">
        <f>C35</f>
        <v>2023</v>
      </c>
      <c r="D55" s="136"/>
      <c r="E55" s="136"/>
      <c r="F55" s="136">
        <f>F35</f>
        <v>2022</v>
      </c>
      <c r="G55" s="136"/>
      <c r="H55" s="136"/>
      <c r="I55" s="136">
        <f>I35</f>
        <v>2021</v>
      </c>
      <c r="J55" s="136"/>
      <c r="K55" s="136"/>
      <c r="L55" s="136">
        <f>L35</f>
        <v>2020</v>
      </c>
      <c r="M55" s="136"/>
      <c r="N55" s="136"/>
      <c r="O55" s="136">
        <f>O35</f>
        <v>2019</v>
      </c>
      <c r="P55" s="136"/>
      <c r="Q55" s="136"/>
      <c r="R55" s="136">
        <f>R35</f>
        <v>2018</v>
      </c>
      <c r="S55" s="136"/>
      <c r="T55" s="136"/>
      <c r="U55" s="136">
        <f>U35</f>
        <v>2017</v>
      </c>
      <c r="V55" s="136"/>
      <c r="W55" s="136"/>
      <c r="X55" s="136">
        <f>X35</f>
        <v>2016</v>
      </c>
      <c r="Y55" s="136"/>
      <c r="Z55" s="136"/>
      <c r="AA55" s="136">
        <f>AA35</f>
        <v>2015</v>
      </c>
      <c r="AB55" s="136"/>
      <c r="AC55" s="136"/>
      <c r="AD55" s="136">
        <f>AD35</f>
        <v>2014</v>
      </c>
      <c r="AE55" s="136"/>
      <c r="AF55" s="136"/>
      <c r="AG55" s="136">
        <v>2013</v>
      </c>
      <c r="AH55" s="136"/>
      <c r="AI55" s="136"/>
      <c r="AJ55" s="136">
        <v>2012</v>
      </c>
      <c r="AK55" s="136"/>
      <c r="AL55" s="136"/>
      <c r="AM55" s="136">
        <f>AM35</f>
        <v>2011</v>
      </c>
      <c r="AN55" s="136"/>
      <c r="AO55" s="136"/>
      <c r="AP55" s="138">
        <v>2010</v>
      </c>
      <c r="AQ55" s="139"/>
      <c r="AR55" s="140"/>
      <c r="AS55" s="138">
        <v>2009</v>
      </c>
      <c r="AT55" s="139"/>
      <c r="AU55" s="140"/>
      <c r="AV55" s="138">
        <v>2008</v>
      </c>
      <c r="AW55" s="139"/>
      <c r="AX55" s="140"/>
      <c r="AY55" s="136">
        <v>2007</v>
      </c>
      <c r="AZ55" s="136"/>
      <c r="BA55" s="136"/>
      <c r="BB55" s="136">
        <v>2006</v>
      </c>
      <c r="BC55" s="136"/>
      <c r="BD55" s="136"/>
      <c r="BE55" s="136">
        <v>2005</v>
      </c>
      <c r="BF55" s="136"/>
      <c r="BG55" s="136"/>
    </row>
    <row r="56" spans="1:59" s="24" customFormat="1" ht="33.75" customHeight="1">
      <c r="A56" s="25"/>
      <c r="B56" s="25"/>
      <c r="C56" s="22" t="s">
        <v>27</v>
      </c>
      <c r="D56" s="22" t="s">
        <v>25</v>
      </c>
      <c r="E56" s="22" t="s">
        <v>26</v>
      </c>
      <c r="F56" s="22" t="s">
        <v>27</v>
      </c>
      <c r="G56" s="22" t="s">
        <v>25</v>
      </c>
      <c r="H56" s="22" t="s">
        <v>26</v>
      </c>
      <c r="I56" s="22" t="s">
        <v>27</v>
      </c>
      <c r="J56" s="22" t="s">
        <v>25</v>
      </c>
      <c r="K56" s="22" t="s">
        <v>26</v>
      </c>
      <c r="L56" s="22" t="s">
        <v>27</v>
      </c>
      <c r="M56" s="22" t="s">
        <v>25</v>
      </c>
      <c r="N56" s="22" t="s">
        <v>26</v>
      </c>
      <c r="O56" s="22" t="s">
        <v>27</v>
      </c>
      <c r="P56" s="22" t="s">
        <v>25</v>
      </c>
      <c r="Q56" s="22" t="s">
        <v>26</v>
      </c>
      <c r="R56" s="22" t="s">
        <v>27</v>
      </c>
      <c r="S56" s="22" t="s">
        <v>25</v>
      </c>
      <c r="T56" s="22" t="s">
        <v>26</v>
      </c>
      <c r="U56" s="22" t="s">
        <v>27</v>
      </c>
      <c r="V56" s="22" t="s">
        <v>25</v>
      </c>
      <c r="W56" s="22" t="s">
        <v>26</v>
      </c>
      <c r="X56" s="22" t="s">
        <v>27</v>
      </c>
      <c r="Y56" s="22" t="s">
        <v>25</v>
      </c>
      <c r="Z56" s="22" t="s">
        <v>26</v>
      </c>
      <c r="AA56" s="22" t="s">
        <v>27</v>
      </c>
      <c r="AB56" s="22" t="s">
        <v>25</v>
      </c>
      <c r="AC56" s="22" t="s">
        <v>26</v>
      </c>
      <c r="AD56" s="22" t="s">
        <v>27</v>
      </c>
      <c r="AE56" s="22" t="s">
        <v>25</v>
      </c>
      <c r="AF56" s="22" t="s">
        <v>26</v>
      </c>
      <c r="AG56" s="22" t="s">
        <v>27</v>
      </c>
      <c r="AH56" s="22" t="s">
        <v>25</v>
      </c>
      <c r="AI56" s="22" t="s">
        <v>26</v>
      </c>
      <c r="AJ56" s="22" t="s">
        <v>27</v>
      </c>
      <c r="AK56" s="22" t="s">
        <v>25</v>
      </c>
      <c r="AL56" s="22" t="s">
        <v>26</v>
      </c>
      <c r="AM56" s="22" t="s">
        <v>27</v>
      </c>
      <c r="AN56" s="22" t="s">
        <v>25</v>
      </c>
      <c r="AO56" s="22" t="s">
        <v>26</v>
      </c>
      <c r="AP56" s="22" t="s">
        <v>27</v>
      </c>
      <c r="AQ56" s="22" t="s">
        <v>8</v>
      </c>
      <c r="AR56" s="22" t="s">
        <v>26</v>
      </c>
      <c r="AS56" s="22" t="s">
        <v>27</v>
      </c>
      <c r="AT56" s="22" t="s">
        <v>25</v>
      </c>
      <c r="AU56" s="22" t="s">
        <v>26</v>
      </c>
      <c r="AV56" s="22" t="s">
        <v>27</v>
      </c>
      <c r="AW56" s="22" t="s">
        <v>25</v>
      </c>
      <c r="AX56" s="22" t="s">
        <v>26</v>
      </c>
      <c r="AY56" s="22" t="s">
        <v>6</v>
      </c>
      <c r="AZ56" s="22" t="s">
        <v>8</v>
      </c>
      <c r="BA56" s="22" t="s">
        <v>7</v>
      </c>
      <c r="BB56" s="22" t="s">
        <v>6</v>
      </c>
      <c r="BC56" s="22" t="s">
        <v>8</v>
      </c>
      <c r="BD56" s="22" t="s">
        <v>7</v>
      </c>
      <c r="BE56" s="22" t="s">
        <v>6</v>
      </c>
      <c r="BF56" s="22" t="s">
        <v>8</v>
      </c>
      <c r="BG56" s="22" t="s">
        <v>7</v>
      </c>
    </row>
    <row r="57" spans="1:59" s="24" customFormat="1" ht="28.5">
      <c r="A57" s="25"/>
      <c r="B57" s="25"/>
      <c r="C57" s="22" t="s">
        <v>18</v>
      </c>
      <c r="D57" s="22" t="s">
        <v>19</v>
      </c>
      <c r="E57" s="22" t="s">
        <v>17</v>
      </c>
      <c r="F57" s="22" t="s">
        <v>18</v>
      </c>
      <c r="G57" s="22" t="s">
        <v>19</v>
      </c>
      <c r="H57" s="22" t="s">
        <v>17</v>
      </c>
      <c r="I57" s="22" t="s">
        <v>18</v>
      </c>
      <c r="J57" s="22" t="s">
        <v>19</v>
      </c>
      <c r="K57" s="22" t="s">
        <v>17</v>
      </c>
      <c r="L57" s="22" t="s">
        <v>18</v>
      </c>
      <c r="M57" s="22" t="s">
        <v>19</v>
      </c>
      <c r="N57" s="22" t="s">
        <v>17</v>
      </c>
      <c r="O57" s="22" t="s">
        <v>18</v>
      </c>
      <c r="P57" s="22" t="s">
        <v>19</v>
      </c>
      <c r="Q57" s="22" t="s">
        <v>17</v>
      </c>
      <c r="R57" s="22" t="s">
        <v>18</v>
      </c>
      <c r="S57" s="22" t="s">
        <v>19</v>
      </c>
      <c r="T57" s="22" t="s">
        <v>17</v>
      </c>
      <c r="U57" s="22" t="s">
        <v>18</v>
      </c>
      <c r="V57" s="22" t="s">
        <v>19</v>
      </c>
      <c r="W57" s="22" t="s">
        <v>17</v>
      </c>
      <c r="X57" s="22" t="s">
        <v>18</v>
      </c>
      <c r="Y57" s="22" t="s">
        <v>19</v>
      </c>
      <c r="Z57" s="22" t="s">
        <v>17</v>
      </c>
      <c r="AA57" s="22" t="s">
        <v>18</v>
      </c>
      <c r="AB57" s="22" t="s">
        <v>19</v>
      </c>
      <c r="AC57" s="22" t="s">
        <v>17</v>
      </c>
      <c r="AD57" s="22" t="s">
        <v>18</v>
      </c>
      <c r="AE57" s="22" t="s">
        <v>19</v>
      </c>
      <c r="AF57" s="22" t="s">
        <v>17</v>
      </c>
      <c r="AG57" s="22" t="s">
        <v>18</v>
      </c>
      <c r="AH57" s="22" t="s">
        <v>19</v>
      </c>
      <c r="AI57" s="22" t="s">
        <v>17</v>
      </c>
      <c r="AJ57" s="22" t="s">
        <v>18</v>
      </c>
      <c r="AK57" s="22" t="s">
        <v>19</v>
      </c>
      <c r="AL57" s="22" t="s">
        <v>17</v>
      </c>
      <c r="AM57" s="22" t="s">
        <v>18</v>
      </c>
      <c r="AN57" s="22" t="s">
        <v>19</v>
      </c>
      <c r="AO57" s="22" t="s">
        <v>17</v>
      </c>
      <c r="AP57" s="22" t="s">
        <v>18</v>
      </c>
      <c r="AQ57" s="22" t="s">
        <v>19</v>
      </c>
      <c r="AR57" s="22" t="s">
        <v>17</v>
      </c>
      <c r="AS57" s="22" t="s">
        <v>18</v>
      </c>
      <c r="AT57" s="22" t="s">
        <v>19</v>
      </c>
      <c r="AU57" s="22" t="s">
        <v>17</v>
      </c>
      <c r="AV57" s="22" t="s">
        <v>18</v>
      </c>
      <c r="AW57" s="22" t="s">
        <v>19</v>
      </c>
      <c r="AX57" s="22" t="s">
        <v>17</v>
      </c>
      <c r="AY57" s="22" t="s">
        <v>18</v>
      </c>
      <c r="AZ57" s="22" t="s">
        <v>19</v>
      </c>
      <c r="BA57" s="22" t="s">
        <v>17</v>
      </c>
      <c r="BB57" s="22" t="s">
        <v>18</v>
      </c>
      <c r="BC57" s="22" t="s">
        <v>19</v>
      </c>
      <c r="BD57" s="22" t="s">
        <v>17</v>
      </c>
      <c r="BE57" s="22" t="s">
        <v>18</v>
      </c>
      <c r="BF57" s="22" t="s">
        <v>19</v>
      </c>
      <c r="BG57" s="22" t="s">
        <v>17</v>
      </c>
    </row>
    <row r="58" spans="1:59" ht="14.25">
      <c r="A58" s="4" t="s">
        <v>1</v>
      </c>
      <c r="B58" s="4" t="s">
        <v>11</v>
      </c>
      <c r="C58" s="101">
        <v>340.603</v>
      </c>
      <c r="D58" s="64">
        <f>E58/C58</f>
        <v>24061.029439521706</v>
      </c>
      <c r="E58" s="103">
        <v>8195258.810189412</v>
      </c>
      <c r="F58" s="101">
        <v>334.204</v>
      </c>
      <c r="G58" s="64">
        <f>H58/F58</f>
        <v>31387.83249516475</v>
      </c>
      <c r="H58" s="103">
        <v>10489939.17121404</v>
      </c>
      <c r="I58" s="101">
        <f>418.26001+1.45526</f>
        <v>419.71527000000003</v>
      </c>
      <c r="J58" s="64">
        <f>K58/I58</f>
        <v>15086.216320173435</v>
      </c>
      <c r="K58" s="103">
        <f>6298964.67855+32950.67755</f>
        <v>6331915.3561</v>
      </c>
      <c r="L58" s="37">
        <f>378.723+2.11097</f>
        <v>380.83397</v>
      </c>
      <c r="M58" s="31">
        <f>N58/L58</f>
        <v>9949.267319306626</v>
      </c>
      <c r="N58" s="35">
        <f>3752900.0744128+36118.89739</f>
        <v>3789018.9718028</v>
      </c>
      <c r="O58" s="37">
        <f>329.971+1.36555</f>
        <v>331.33655</v>
      </c>
      <c r="P58" s="31">
        <f>Q58/O58</f>
        <v>12492.190854748473</v>
      </c>
      <c r="Q58" s="35">
        <f>4116779.87347491+22339.546279</f>
        <v>4139119.41975391</v>
      </c>
      <c r="R58" s="37">
        <f>395.45273+0.01476</f>
        <v>395.46749</v>
      </c>
      <c r="S58" s="31">
        <f>T58/R58</f>
        <v>9329.300885488059</v>
      </c>
      <c r="T58" s="35">
        <f>3689234.85501864+200.3496201</f>
        <v>3689435.20463874</v>
      </c>
      <c r="U58" s="37">
        <f>384.501+1.3993</f>
        <v>385.90029999999996</v>
      </c>
      <c r="V58" s="31">
        <f>W58/U58</f>
        <v>7333.747158719493</v>
      </c>
      <c r="W58" s="35">
        <f>2813495.655854+16599.57282</f>
        <v>2830095.2286739997</v>
      </c>
      <c r="X58" s="37">
        <f>0.32793+306.006</f>
        <v>306.33392999999995</v>
      </c>
      <c r="Y58" s="31">
        <f>Z58/X58</f>
        <v>8279.064152555613</v>
      </c>
      <c r="Z58" s="31">
        <f>4140.81146+2532017.44711448</f>
        <v>2536158.25857448</v>
      </c>
      <c r="AA58" s="18">
        <v>329.76</v>
      </c>
      <c r="AB58" s="6">
        <v>9711.077764154335</v>
      </c>
      <c r="AC58" s="6">
        <f>AA58*AB58</f>
        <v>3202325.0035075336</v>
      </c>
      <c r="AD58" s="18">
        <v>326.7245</v>
      </c>
      <c r="AE58" s="6">
        <v>5560.533504594215</v>
      </c>
      <c r="AF58" s="6">
        <f>AD58*AE58</f>
        <v>1816762.5290217923</v>
      </c>
      <c r="AG58" s="18">
        <v>309.624</v>
      </c>
      <c r="AH58" s="6">
        <v>6942.021009641983</v>
      </c>
      <c r="AI58" s="6">
        <f>AG58*AH58</f>
        <v>2149416.31308939</v>
      </c>
      <c r="AJ58" s="18">
        <v>316.186</v>
      </c>
      <c r="AK58" s="6">
        <v>8920.988081427742</v>
      </c>
      <c r="AL58" s="6">
        <f>AJ58*AK58</f>
        <v>2820691.5375143117</v>
      </c>
      <c r="AM58" s="18">
        <v>322.538</v>
      </c>
      <c r="AN58" s="6">
        <v>6252.335161959186</v>
      </c>
      <c r="AO58" s="6">
        <v>2016615.678467992</v>
      </c>
      <c r="AP58" s="18">
        <v>310.211</v>
      </c>
      <c r="AQ58" s="6">
        <v>4280.914309848285</v>
      </c>
      <c r="AR58" s="6">
        <v>1327986.7089723463</v>
      </c>
      <c r="AS58" s="18">
        <v>277.607</v>
      </c>
      <c r="AT58" s="6">
        <v>3955.008832990522</v>
      </c>
      <c r="AU58" s="6">
        <v>1097938.1371</v>
      </c>
      <c r="AV58" s="18">
        <v>287.928</v>
      </c>
      <c r="AW58" s="6">
        <f>AX58/AV58</f>
        <v>3475.04</v>
      </c>
      <c r="AX58" s="6">
        <f>3475.04*287.928</f>
        <v>1000561.31712</v>
      </c>
      <c r="AY58" s="5">
        <v>278.337</v>
      </c>
      <c r="AZ58" s="5">
        <f>BA58/AY58</f>
        <v>2500.1960696685237</v>
      </c>
      <c r="BA58" s="6">
        <v>695897.0734433279</v>
      </c>
      <c r="BB58" s="5">
        <v>305.484</v>
      </c>
      <c r="BC58" s="5">
        <f>BD58/BB58</f>
        <v>1499.2983578812025</v>
      </c>
      <c r="BD58" s="6">
        <v>458011.65955898125</v>
      </c>
      <c r="BE58" s="5">
        <v>305.726</v>
      </c>
      <c r="BF58" s="5">
        <f>BG58/BE58</f>
        <v>1299.7226618306358</v>
      </c>
      <c r="BG58" s="6">
        <v>397359.01051083294</v>
      </c>
    </row>
    <row r="59" spans="1:59" ht="14.25">
      <c r="A59" s="4" t="s">
        <v>2</v>
      </c>
      <c r="B59" s="4" t="s">
        <v>12</v>
      </c>
      <c r="C59" s="36">
        <v>211.26803</v>
      </c>
      <c r="D59" s="31">
        <v>23423.571773654538</v>
      </c>
      <c r="E59" s="31">
        <v>4948651.8641836</v>
      </c>
      <c r="F59" s="63">
        <v>175.76199</v>
      </c>
      <c r="G59" s="64">
        <f>H59/F59</f>
        <v>29785.45833242159</v>
      </c>
      <c r="H59" s="64">
        <v>5235151.4295685</v>
      </c>
      <c r="I59" s="63">
        <v>211.81281</v>
      </c>
      <c r="J59" s="64">
        <f>K59/I59</f>
        <v>14540.90757641051</v>
      </c>
      <c r="K59" s="64">
        <f>3537131.49907-K63</f>
        <v>3079950.4937098</v>
      </c>
      <c r="L59" s="36">
        <v>199.01538</v>
      </c>
      <c r="M59" s="31">
        <f>N59/L59</f>
        <v>9788.47</v>
      </c>
      <c r="N59" s="31">
        <v>1948056.0766685999</v>
      </c>
      <c r="O59" s="36">
        <v>137.29677</v>
      </c>
      <c r="P59" s="31">
        <v>12659.27</v>
      </c>
      <c r="Q59" s="31">
        <f>P59*O59</f>
        <v>1738076.8815579002</v>
      </c>
      <c r="R59" s="36">
        <v>211.03218</v>
      </c>
      <c r="S59" s="31">
        <v>9439.516499379382</v>
      </c>
      <c r="T59" s="31">
        <v>1992041.74501</v>
      </c>
      <c r="U59" s="36">
        <v>200.28023399999998</v>
      </c>
      <c r="V59" s="31">
        <f>W59/U59</f>
        <v>7475.89778330297</v>
      </c>
      <c r="W59" s="31">
        <v>1497274.5574</v>
      </c>
      <c r="X59" s="36">
        <v>177.42873</v>
      </c>
      <c r="Y59" s="31">
        <f>Z59/X59</f>
        <v>8196.895302581492</v>
      </c>
      <c r="Z59" s="31">
        <v>1454364.72348</v>
      </c>
      <c r="AA59" s="5">
        <v>179.10761</v>
      </c>
      <c r="AB59" s="6">
        <f>AC59/AA59</f>
        <v>9779.175978508118</v>
      </c>
      <c r="AC59" s="6">
        <v>1751524.83728</v>
      </c>
      <c r="AD59" s="5">
        <v>150.15705</v>
      </c>
      <c r="AE59" s="6">
        <v>5607.699781462142</v>
      </c>
      <c r="AF59" s="6">
        <f>AD59*AE59</f>
        <v>842035.6564699999</v>
      </c>
      <c r="AG59" s="5">
        <v>172.20095</v>
      </c>
      <c r="AH59" s="6">
        <v>6983.755</v>
      </c>
      <c r="AI59" s="6">
        <f>AH59*AG59</f>
        <v>1202609.24556725</v>
      </c>
      <c r="AJ59" s="5">
        <v>141.834953</v>
      </c>
      <c r="AK59" s="6">
        <v>9041.5</v>
      </c>
      <c r="AL59" s="6">
        <f>AK59*AJ59</f>
        <v>1282400.7275495</v>
      </c>
      <c r="AM59" s="5">
        <v>169.71454</v>
      </c>
      <c r="AN59" s="6">
        <v>6297.085251677317</v>
      </c>
      <c r="AO59" s="6">
        <v>1068706.9268292</v>
      </c>
      <c r="AP59" s="5">
        <v>153.78056999999998</v>
      </c>
      <c r="AQ59" s="6">
        <v>4368.351068993957</v>
      </c>
      <c r="AR59" s="6">
        <v>671767.51735</v>
      </c>
      <c r="AS59" s="5">
        <v>155.086</v>
      </c>
      <c r="AT59" s="6">
        <v>3955.0020401583633</v>
      </c>
      <c r="AU59" s="6">
        <v>613365.4464</v>
      </c>
      <c r="AV59" s="5">
        <v>112.885</v>
      </c>
      <c r="AW59" s="6">
        <f>AX59/AV59</f>
        <v>3505.6357165256677</v>
      </c>
      <c r="AX59" s="6">
        <v>395733.68786</v>
      </c>
      <c r="AY59" s="8">
        <v>168.932</v>
      </c>
      <c r="AZ59" s="8">
        <f>BA59/AY59</f>
        <v>2547.744753036725</v>
      </c>
      <c r="BA59" s="7">
        <v>430395.61662</v>
      </c>
      <c r="BB59" s="7">
        <v>151.108</v>
      </c>
      <c r="BC59" s="8">
        <f>BD59/BB59</f>
        <v>1491.5854838261375</v>
      </c>
      <c r="BD59" s="7">
        <v>225390.49929</v>
      </c>
      <c r="BE59" s="7">
        <v>178.008</v>
      </c>
      <c r="BF59" s="8">
        <f>BG59/BE59</f>
        <v>1314.1831124443845</v>
      </c>
      <c r="BG59" s="7">
        <v>233935.10748</v>
      </c>
    </row>
    <row r="60" spans="1:59" ht="15">
      <c r="A60" s="9" t="s">
        <v>3</v>
      </c>
      <c r="B60" s="9" t="s">
        <v>13</v>
      </c>
      <c r="C60" s="11">
        <f>C58+C59</f>
        <v>551.87103</v>
      </c>
      <c r="D60" s="11">
        <f>E60/C60</f>
        <v>23816.997015358844</v>
      </c>
      <c r="E60" s="11">
        <f>E58+E59</f>
        <v>13143910.674373012</v>
      </c>
      <c r="F60" s="11">
        <f>F58+F59</f>
        <v>509.96599000000003</v>
      </c>
      <c r="G60" s="11">
        <f>H60/F60</f>
        <v>30835.56729103158</v>
      </c>
      <c r="H60" s="11">
        <f>H58+H59</f>
        <v>15725090.60078254</v>
      </c>
      <c r="I60" s="11">
        <f>I58+I59</f>
        <v>631.52808</v>
      </c>
      <c r="J60" s="11">
        <f>K60/I60</f>
        <v>14903.321242358374</v>
      </c>
      <c r="K60" s="11">
        <f>K58+K59</f>
        <v>9411865.8498098</v>
      </c>
      <c r="L60" s="11">
        <f>L58+L59</f>
        <v>579.84935</v>
      </c>
      <c r="M60" s="11">
        <f>N60/L60</f>
        <v>9894.078605885132</v>
      </c>
      <c r="N60" s="11">
        <f>N58+N59</f>
        <v>5737075.0484714</v>
      </c>
      <c r="O60" s="11">
        <f>O58+O59</f>
        <v>468.63332</v>
      </c>
      <c r="P60" s="11">
        <f>Q60/O60</f>
        <v>12541.140483377943</v>
      </c>
      <c r="Q60" s="11">
        <f>Q58+Q59</f>
        <v>5877196.3013118105</v>
      </c>
      <c r="R60" s="11">
        <f>R58+R59</f>
        <v>606.49967</v>
      </c>
      <c r="S60" s="11">
        <f>T60/R60</f>
        <v>9367.650520978419</v>
      </c>
      <c r="T60" s="11">
        <f>T58+T59</f>
        <v>5681476.94964874</v>
      </c>
      <c r="U60" s="11">
        <f>U58+U59</f>
        <v>586.180534</v>
      </c>
      <c r="V60" s="11">
        <f>W60/U60</f>
        <v>7382.315745875655</v>
      </c>
      <c r="W60" s="11">
        <f>W58+W59</f>
        <v>4327369.7860739995</v>
      </c>
      <c r="X60" s="11">
        <f>X58+X59</f>
        <v>483.76266</v>
      </c>
      <c r="Y60" s="11">
        <f>Z60/X60</f>
        <v>8248.927236456158</v>
      </c>
      <c r="Z60" s="11">
        <f>Z58+Z59</f>
        <v>3990522.9820544804</v>
      </c>
      <c r="AA60" s="11">
        <f>AA58+AA59</f>
        <v>508.86761</v>
      </c>
      <c r="AB60" s="11">
        <f>AC60/AA60</f>
        <v>9735.046490358334</v>
      </c>
      <c r="AC60" s="11">
        <f>AC58+AC59</f>
        <v>4953849.840787534</v>
      </c>
      <c r="AD60" s="11">
        <f>AD58+AD59</f>
        <v>476.88154999999995</v>
      </c>
      <c r="AE60" s="11">
        <f>AF60/AD60</f>
        <v>5575.384884342438</v>
      </c>
      <c r="AF60" s="11">
        <f>AF58+AF59</f>
        <v>2658798.1854917924</v>
      </c>
      <c r="AG60" s="11">
        <f>AG58+AG59</f>
        <v>481.82495000000006</v>
      </c>
      <c r="AH60" s="11">
        <f>AI60/AG60</f>
        <v>6956.936453076246</v>
      </c>
      <c r="AI60" s="11">
        <f>AI58+AI59</f>
        <v>3352025.55865664</v>
      </c>
      <c r="AJ60" s="11">
        <f>AJ58+AJ59</f>
        <v>458.02095299999996</v>
      </c>
      <c r="AK60" s="11">
        <f>AL60/AJ60</f>
        <v>8958.30690318618</v>
      </c>
      <c r="AL60" s="11">
        <f>AL58+AL59</f>
        <v>4103092.265063812</v>
      </c>
      <c r="AM60" s="11">
        <f>AM58+AM59</f>
        <v>492.25254</v>
      </c>
      <c r="AN60" s="11">
        <f>AO60/AM60</f>
        <v>6267.763707826052</v>
      </c>
      <c r="AO60" s="11">
        <f>AO58+AO59</f>
        <v>3085322.605297192</v>
      </c>
      <c r="AP60" s="11">
        <f>AP58+AP59</f>
        <v>463.99157</v>
      </c>
      <c r="AQ60" s="11">
        <f>AR60/AP60</f>
        <v>4309.8934455260605</v>
      </c>
      <c r="AR60" s="11">
        <f>AR58+AR59</f>
        <v>1999754.2263223464</v>
      </c>
      <c r="AS60" s="11">
        <v>432.69300000000004</v>
      </c>
      <c r="AT60" s="11">
        <v>3955.0063983008736</v>
      </c>
      <c r="AU60" s="11">
        <v>1711303.5835</v>
      </c>
      <c r="AV60" s="11">
        <f>AV58+AV59</f>
        <v>400.813</v>
      </c>
      <c r="AW60" s="11">
        <f>AX60/AV60</f>
        <v>3483.656979638884</v>
      </c>
      <c r="AX60" s="11">
        <f>AX58+AX59</f>
        <v>1396295.00498</v>
      </c>
      <c r="AY60" s="10">
        <f>AY58+AY59</f>
        <v>447.269</v>
      </c>
      <c r="AZ60" s="10">
        <f>BA60/AY60</f>
        <v>2518.1550477751152</v>
      </c>
      <c r="BA60" s="11">
        <f>BA58+BA59</f>
        <v>1126292.690063328</v>
      </c>
      <c r="BB60" s="10">
        <f>BB58+BB59</f>
        <v>456.592</v>
      </c>
      <c r="BC60" s="10">
        <f>BD60/BB60</f>
        <v>1496.7458011725596</v>
      </c>
      <c r="BD60" s="11">
        <f>BD58+BD59</f>
        <v>683402.1588489813</v>
      </c>
      <c r="BE60" s="10">
        <f>BE58+BE59</f>
        <v>483.73400000000004</v>
      </c>
      <c r="BF60" s="10">
        <f>BG60/BE60</f>
        <v>1305.0439249480767</v>
      </c>
      <c r="BG60" s="11">
        <f>BG58+BG59</f>
        <v>631294.117990833</v>
      </c>
    </row>
    <row r="61" spans="1:50" ht="15">
      <c r="A61" s="21" t="s">
        <v>36</v>
      </c>
      <c r="B61" s="71" t="s">
        <v>66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3"/>
      <c r="AT61" s="3"/>
      <c r="AU61" s="3"/>
      <c r="AV61" s="3"/>
      <c r="AW61" s="3"/>
      <c r="AX61" s="79"/>
    </row>
    <row r="62" spans="1:50" ht="14.25">
      <c r="A62" s="4" t="s">
        <v>1</v>
      </c>
      <c r="B62" s="4" t="s">
        <v>11</v>
      </c>
      <c r="C62" s="63">
        <f>C58</f>
        <v>340.603</v>
      </c>
      <c r="D62" s="64">
        <f>E62/C62</f>
        <v>2513.5079228033487</v>
      </c>
      <c r="E62" s="64">
        <f>E66-E58</f>
        <v>856108.339030589</v>
      </c>
      <c r="F62" s="63">
        <f>F58</f>
        <v>334.204</v>
      </c>
      <c r="G62" s="64">
        <f>H62/F62</f>
        <v>2188.27401286627</v>
      </c>
      <c r="H62" s="64">
        <f>H66-H58</f>
        <v>731329.928195959</v>
      </c>
      <c r="I62" s="63">
        <f>I58</f>
        <v>419.71527000000003</v>
      </c>
      <c r="J62" s="64">
        <f>K62/I62</f>
        <v>1953.5864549555213</v>
      </c>
      <c r="K62" s="64">
        <f>K66-K58</f>
        <v>819950.0664099995</v>
      </c>
      <c r="L62" s="36">
        <f>L58</f>
        <v>380.83397</v>
      </c>
      <c r="M62" s="31">
        <f>N62/L62</f>
        <v>1771.4449742947047</v>
      </c>
      <c r="N62" s="31">
        <f>N66-N58</f>
        <v>674626.4221972004</v>
      </c>
      <c r="O62" s="36">
        <f>O58</f>
        <v>331.33655</v>
      </c>
      <c r="P62" s="31">
        <f>Q62/O62</f>
        <v>1593.0488183271268</v>
      </c>
      <c r="Q62" s="31">
        <f>527180.111075087+655.188371</f>
        <v>527835.299446087</v>
      </c>
      <c r="R62" s="36">
        <f>R58</f>
        <v>395.46749</v>
      </c>
      <c r="S62" s="31">
        <f>T62/R62</f>
        <v>1538.5944261847112</v>
      </c>
      <c r="T62" s="31">
        <f>608455.706501358+8.3693499</f>
        <v>608464.075851258</v>
      </c>
      <c r="U62" s="36">
        <f>U58</f>
        <v>385.90029999999996</v>
      </c>
      <c r="V62" s="31">
        <f>W62/U62</f>
        <v>1530.778619700581</v>
      </c>
      <c r="W62" s="31">
        <f>589994.90586604+733.02271</f>
        <v>590727.9285760401</v>
      </c>
      <c r="X62" s="36">
        <v>306.006</v>
      </c>
      <c r="Y62" s="31">
        <v>1493.9631181595075</v>
      </c>
      <c r="Z62" s="31">
        <f>X62*Y62</f>
        <v>457161.6779355182</v>
      </c>
      <c r="AA62" s="5">
        <f>AA58</f>
        <v>329.76</v>
      </c>
      <c r="AB62" s="6">
        <v>1371.943768505782</v>
      </c>
      <c r="AC62" s="6">
        <f>AA62*AB62</f>
        <v>452412.17710246664</v>
      </c>
      <c r="AD62" s="8">
        <f>AD58</f>
        <v>326.7245</v>
      </c>
      <c r="AE62" s="6">
        <v>1194.5953805368372</v>
      </c>
      <c r="AF62" s="6">
        <f>AD62*AE62</f>
        <v>390303.57840820786</v>
      </c>
      <c r="AG62" s="8">
        <v>309.624</v>
      </c>
      <c r="AH62" s="6">
        <v>1259.9880593901319</v>
      </c>
      <c r="AI62" s="6">
        <f>AG62*AH62</f>
        <v>390122.5429006102</v>
      </c>
      <c r="AJ62" s="8">
        <v>316.186</v>
      </c>
      <c r="AK62" s="6">
        <v>1224.1540236939277</v>
      </c>
      <c r="AL62" s="6">
        <f>AJ62*AK62</f>
        <v>387060.36413568817</v>
      </c>
      <c r="AM62" s="8">
        <v>322.538</v>
      </c>
      <c r="AN62" s="6">
        <v>1077.8937302333613</v>
      </c>
      <c r="AO62" s="6">
        <v>347661.68796200794</v>
      </c>
      <c r="AP62" s="8">
        <v>310.211</v>
      </c>
      <c r="AQ62" s="8">
        <v>982.4544932889345</v>
      </c>
      <c r="AR62" s="6">
        <v>304768.19081765367</v>
      </c>
      <c r="AS62" s="5">
        <v>277.60762</v>
      </c>
      <c r="AT62" s="6">
        <v>763.91</v>
      </c>
      <c r="AU62" s="6">
        <v>212067.23699419998</v>
      </c>
      <c r="AV62" s="5">
        <v>287.928</v>
      </c>
      <c r="AW62" s="6">
        <v>777.85</v>
      </c>
      <c r="AX62" s="6">
        <v>223964.7948</v>
      </c>
    </row>
    <row r="63" spans="1:50" ht="14.25">
      <c r="A63" s="4" t="s">
        <v>2</v>
      </c>
      <c r="B63" s="4" t="s">
        <v>12</v>
      </c>
      <c r="C63" s="63">
        <f>C59</f>
        <v>211.26803</v>
      </c>
      <c r="D63" s="64">
        <f>E63/C63</f>
        <v>2570.880000000001</v>
      </c>
      <c r="E63" s="64">
        <f>E67-E59</f>
        <v>543144.7529664002</v>
      </c>
      <c r="F63" s="63">
        <f>F59</f>
        <v>175.76199</v>
      </c>
      <c r="G63" s="64">
        <f>H63/F63</f>
        <v>2141.849999999998</v>
      </c>
      <c r="H63" s="64">
        <f>H67-H59</f>
        <v>376455.81828149967</v>
      </c>
      <c r="I63" s="63">
        <f>I59</f>
        <v>211.81281</v>
      </c>
      <c r="J63" s="64">
        <f>K63/I63</f>
        <v>2158.42</v>
      </c>
      <c r="K63" s="64">
        <f>2158.42*I63</f>
        <v>457181.00536020007</v>
      </c>
      <c r="L63" s="36">
        <f>L59</f>
        <v>199.01538</v>
      </c>
      <c r="M63" s="31">
        <f>N63/L63</f>
        <v>2219.9376020154837</v>
      </c>
      <c r="N63" s="31">
        <v>441801.7254414002</v>
      </c>
      <c r="O63" s="36">
        <v>137.29677</v>
      </c>
      <c r="P63" s="31">
        <f>Q63/O63</f>
        <v>1926.2249745722334</v>
      </c>
      <c r="Q63" s="31">
        <f>2002541.34886-Q59</f>
        <v>264464.4673020998</v>
      </c>
      <c r="R63" s="36">
        <v>211.03218</v>
      </c>
      <c r="S63" s="31">
        <v>1558.8287851644238</v>
      </c>
      <c r="T63" s="31">
        <v>328963.03678</v>
      </c>
      <c r="U63" s="36">
        <v>200.28023399999998</v>
      </c>
      <c r="V63" s="31">
        <f>W63/U63</f>
        <v>1490.072762747022</v>
      </c>
      <c r="W63" s="31">
        <v>298432.1216</v>
      </c>
      <c r="X63" s="36">
        <v>177.42873</v>
      </c>
      <c r="Y63" s="31">
        <f>Z63/X63</f>
        <v>1843.232870629238</v>
      </c>
      <c r="Z63" s="31">
        <v>327042.46733</v>
      </c>
      <c r="AA63" s="32">
        <v>179.10761</v>
      </c>
      <c r="AB63" s="6">
        <f>AC63/AA63</f>
        <v>1308.3633984619637</v>
      </c>
      <c r="AC63" s="6">
        <v>234337.84131</v>
      </c>
      <c r="AD63" s="32">
        <v>150.15705</v>
      </c>
      <c r="AE63" s="6">
        <v>1343.733790721115</v>
      </c>
      <c r="AF63" s="6">
        <f>AD63*AE63</f>
        <v>201771.10199999998</v>
      </c>
      <c r="AG63" s="16">
        <v>172.20095</v>
      </c>
      <c r="AH63" s="6">
        <v>1453.4245</v>
      </c>
      <c r="AI63" s="6">
        <f>AH63*AG63</f>
        <v>250281.07965327502</v>
      </c>
      <c r="AJ63" s="16">
        <v>141.834953</v>
      </c>
      <c r="AK63" s="6">
        <v>1536.4197135560787</v>
      </c>
      <c r="AL63" s="6">
        <f>AK63*AJ63</f>
        <v>217918.0178604999</v>
      </c>
      <c r="AM63" s="16">
        <v>169.71454</v>
      </c>
      <c r="AN63" s="6">
        <v>1107.9548704595372</v>
      </c>
      <c r="AO63" s="6">
        <v>213564.1042108</v>
      </c>
      <c r="AP63" s="16">
        <v>153.78056999999998</v>
      </c>
      <c r="AQ63" s="16">
        <v>1181.11383180593</v>
      </c>
      <c r="AR63" s="17">
        <v>181632.35829</v>
      </c>
      <c r="AS63" s="5">
        <v>155.086</v>
      </c>
      <c r="AT63" s="6">
        <v>819.5042449995485</v>
      </c>
      <c r="AU63" s="6">
        <v>127093.63534</v>
      </c>
      <c r="AV63" s="5">
        <v>112.885</v>
      </c>
      <c r="AW63" s="6">
        <v>1106.6819749302388</v>
      </c>
      <c r="AX63" s="6">
        <v>124927.79474</v>
      </c>
    </row>
    <row r="64" spans="1:50" ht="15">
      <c r="A64" s="9" t="s">
        <v>3</v>
      </c>
      <c r="B64" s="9" t="s">
        <v>13</v>
      </c>
      <c r="C64" s="11">
        <f>C62+C63</f>
        <v>551.87103</v>
      </c>
      <c r="D64" s="11">
        <f>E64/C64</f>
        <v>2535.4711806433997</v>
      </c>
      <c r="E64" s="11">
        <f>E62+E63</f>
        <v>1399253.0919969892</v>
      </c>
      <c r="F64" s="11">
        <f>F62+F63</f>
        <v>509.96599000000003</v>
      </c>
      <c r="G64" s="11">
        <f>H64/F64</f>
        <v>2172.2737755069875</v>
      </c>
      <c r="H64" s="11">
        <f>H62+H63</f>
        <v>1107785.7464774586</v>
      </c>
      <c r="I64" s="11">
        <f>I62+I63</f>
        <v>631.52808</v>
      </c>
      <c r="J64" s="11">
        <f>K64/I64</f>
        <v>2022.287071970259</v>
      </c>
      <c r="K64" s="11">
        <f>K62+K63</f>
        <v>1277131.0717701996</v>
      </c>
      <c r="L64" s="11">
        <f>L62+L63</f>
        <v>579.84935</v>
      </c>
      <c r="M64" s="11">
        <f>N64/L64</f>
        <v>1925.37621649244</v>
      </c>
      <c r="N64" s="11">
        <f>N62+N63</f>
        <v>1116428.1476386006</v>
      </c>
      <c r="O64" s="11">
        <f>O62+O63</f>
        <v>468.63332</v>
      </c>
      <c r="P64" s="11">
        <f>Q64/O64</f>
        <v>1690.6603370588048</v>
      </c>
      <c r="Q64" s="11">
        <f>Q62+Q63</f>
        <v>792299.7667481868</v>
      </c>
      <c r="R64" s="11">
        <f>R62+R63</f>
        <v>606.49967</v>
      </c>
      <c r="S64" s="11">
        <f>T64/R64</f>
        <v>1545.6349920705777</v>
      </c>
      <c r="T64" s="11">
        <f>T62+T63</f>
        <v>937427.1126312581</v>
      </c>
      <c r="U64" s="11">
        <f>U62+U63</f>
        <v>586.180534</v>
      </c>
      <c r="V64" s="11">
        <f>W64/U64</f>
        <v>1516.8706543503883</v>
      </c>
      <c r="W64" s="11">
        <f>W62+W63</f>
        <v>889160.05017604</v>
      </c>
      <c r="X64" s="11">
        <f>X62+X63</f>
        <v>483.43472999999994</v>
      </c>
      <c r="Y64" s="11">
        <f>Z64/X64</f>
        <v>1622.1510301204846</v>
      </c>
      <c r="Z64" s="11">
        <f>Z62+Z63</f>
        <v>784204.1452655182</v>
      </c>
      <c r="AA64" s="11">
        <f>AA62+AA63</f>
        <v>508.86761</v>
      </c>
      <c r="AB64" s="11">
        <f>AC64/AA64</f>
        <v>1349.565201079445</v>
      </c>
      <c r="AC64" s="11">
        <f>AC62+AC63</f>
        <v>686750.0184124666</v>
      </c>
      <c r="AD64" s="11">
        <f>AD62+AD63</f>
        <v>476.88154999999995</v>
      </c>
      <c r="AE64" s="11">
        <f>AF64/AD64</f>
        <v>1241.5550159325894</v>
      </c>
      <c r="AF64" s="11">
        <f>AF62+AF63</f>
        <v>592074.6804082078</v>
      </c>
      <c r="AG64" s="11">
        <f>AG62+AG63</f>
        <v>481.82495000000006</v>
      </c>
      <c r="AH64" s="11">
        <f>AI64/AG64</f>
        <v>1329.1209235924482</v>
      </c>
      <c r="AI64" s="11">
        <f>AI62+AI63</f>
        <v>640403.6225538852</v>
      </c>
      <c r="AJ64" s="11">
        <f>AJ62+AJ63</f>
        <v>458.02095299999996</v>
      </c>
      <c r="AK64" s="11">
        <f>AL64/AJ64</f>
        <v>1320.8530702222877</v>
      </c>
      <c r="AL64" s="11">
        <f>AL62+AL63</f>
        <v>604978.3819961881</v>
      </c>
      <c r="AM64" s="11">
        <f>AM62+AM63</f>
        <v>492.25254</v>
      </c>
      <c r="AN64" s="11">
        <f>AO64/AM64</f>
        <v>1140.1176155897701</v>
      </c>
      <c r="AO64" s="11">
        <f>AO62+AO63</f>
        <v>561225.792172808</v>
      </c>
      <c r="AP64" s="11">
        <f>AP62+AP63</f>
        <v>463.99157</v>
      </c>
      <c r="AQ64" s="11">
        <f>AR64/AP64</f>
        <v>1048.2960910424592</v>
      </c>
      <c r="AR64" s="11">
        <f>AR62+AR63</f>
        <v>486400.5491076537</v>
      </c>
      <c r="AS64" s="11">
        <f>SUM(AS62:AS63)</f>
        <v>432.69362</v>
      </c>
      <c r="AT64" s="11">
        <f>AU64/AS64</f>
        <v>783.8360832179591</v>
      </c>
      <c r="AU64" s="11">
        <v>339160.87233419996</v>
      </c>
      <c r="AV64" s="11">
        <f>SUM(AV62:AV63)</f>
        <v>400.813</v>
      </c>
      <c r="AW64" s="11">
        <f>AX64/AV64</f>
        <v>870.4622593079566</v>
      </c>
      <c r="AX64" s="11">
        <f>AX62+AX63</f>
        <v>348892.58954</v>
      </c>
    </row>
    <row r="65" spans="1:50" s="27" customFormat="1" ht="15">
      <c r="A65" s="68" t="s">
        <v>65</v>
      </c>
      <c r="B65" s="68" t="s">
        <v>64</v>
      </c>
      <c r="C65" s="72"/>
      <c r="D65" s="72"/>
      <c r="E65" s="72"/>
      <c r="F65" s="72"/>
      <c r="G65" s="72"/>
      <c r="H65" s="72"/>
      <c r="I65" s="72"/>
      <c r="J65" s="72"/>
      <c r="K65" s="72"/>
      <c r="L65" s="69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3"/>
      <c r="AB65" s="74"/>
      <c r="AC65" s="74"/>
      <c r="AD65" s="73"/>
      <c r="AE65" s="74"/>
      <c r="AF65" s="74"/>
      <c r="AG65" s="73"/>
      <c r="AH65" s="74"/>
      <c r="AI65" s="74"/>
      <c r="AJ65" s="73"/>
      <c r="AK65" s="74"/>
      <c r="AL65" s="74"/>
      <c r="AM65" s="73"/>
      <c r="AN65" s="74"/>
      <c r="AO65" s="74"/>
      <c r="AP65" s="73"/>
      <c r="AQ65" s="73"/>
      <c r="AR65" s="75"/>
      <c r="AS65" s="76"/>
      <c r="AT65" s="74"/>
      <c r="AU65" s="74"/>
      <c r="AV65" s="76"/>
      <c r="AW65" s="74"/>
      <c r="AX65" s="77"/>
    </row>
    <row r="66" spans="1:59" ht="14.25">
      <c r="A66" s="4" t="s">
        <v>1</v>
      </c>
      <c r="B66" s="4" t="s">
        <v>11</v>
      </c>
      <c r="C66" s="101">
        <f>C58</f>
        <v>340.603</v>
      </c>
      <c r="D66" s="64">
        <f>E66/C66</f>
        <v>26574.537362325056</v>
      </c>
      <c r="E66" s="64">
        <v>9051367.149220001</v>
      </c>
      <c r="F66" s="101">
        <f>F58</f>
        <v>334.204</v>
      </c>
      <c r="G66" s="64">
        <f>H66/F66</f>
        <v>33576.10650803102</v>
      </c>
      <c r="H66" s="64">
        <v>11221269.09941</v>
      </c>
      <c r="I66" s="101">
        <f>I58</f>
        <v>419.71527000000003</v>
      </c>
      <c r="J66" s="64">
        <f>K66/I66</f>
        <v>17039.802775128956</v>
      </c>
      <c r="K66" s="64">
        <f>7117709.88533+34155.53718</f>
        <v>7151865.42251</v>
      </c>
      <c r="L66" s="37">
        <f>L58</f>
        <v>380.83397</v>
      </c>
      <c r="M66" s="31">
        <f>N66/L66</f>
        <v>11720.71229360133</v>
      </c>
      <c r="N66" s="31">
        <f>4425923.67136+37721.72264</f>
        <v>4463645.394</v>
      </c>
      <c r="O66" s="37">
        <f>O58</f>
        <v>331.33655</v>
      </c>
      <c r="P66" s="31">
        <f>Q66/O66</f>
        <v>14085.23967307561</v>
      </c>
      <c r="Q66" s="31">
        <f>(7581+4643952403.55+22994734.65)/1000</f>
        <v>4666954.7192</v>
      </c>
      <c r="R66" s="37">
        <f>R58</f>
        <v>395.46749</v>
      </c>
      <c r="S66" s="31">
        <f>T66/R66</f>
        <v>10867.895311672775</v>
      </c>
      <c r="T66" s="31">
        <f>4297690.56152+208.71897</f>
        <v>4297899.28049</v>
      </c>
      <c r="U66" s="37">
        <f>U58</f>
        <v>385.90029999999996</v>
      </c>
      <c r="V66" s="31">
        <f>W66/U66</f>
        <v>8864.525778420075</v>
      </c>
      <c r="W66" s="31">
        <f>W58+W62</f>
        <v>3420823.1572500397</v>
      </c>
      <c r="X66" s="37">
        <f>X58</f>
        <v>306.33392999999995</v>
      </c>
      <c r="Y66" s="31">
        <f>Z66/X66</f>
        <v>9771.427985499351</v>
      </c>
      <c r="Z66" s="31">
        <f>Z58+Z62</f>
        <v>2993319.9365099985</v>
      </c>
      <c r="AA66" s="18">
        <f>AA62</f>
        <v>329.76</v>
      </c>
      <c r="AB66" s="6">
        <f>AB58+AB62</f>
        <v>11083.021532660117</v>
      </c>
      <c r="AC66" s="6">
        <f>AA66*AB66</f>
        <v>3654737.18061</v>
      </c>
      <c r="AD66" s="18">
        <f>AD62</f>
        <v>326.7245</v>
      </c>
      <c r="AE66" s="6">
        <f>AE58+AE62</f>
        <v>6755.128885131052</v>
      </c>
      <c r="AF66" s="6">
        <f>AD66*AE66</f>
        <v>2207066.1074300003</v>
      </c>
      <c r="AG66" s="18">
        <f>AG62</f>
        <v>309.624</v>
      </c>
      <c r="AH66" s="6">
        <f>AH58+AH62</f>
        <v>8202.009069032116</v>
      </c>
      <c r="AI66" s="6">
        <f>AG66*AH66</f>
        <v>2539538.85599</v>
      </c>
      <c r="AJ66" s="18">
        <f>AJ62</f>
        <v>316.186</v>
      </c>
      <c r="AK66" s="6">
        <f>AK58+AK62</f>
        <v>10145.14210512167</v>
      </c>
      <c r="AL66" s="6">
        <f>AJ66*AK66</f>
        <v>3207751.90165</v>
      </c>
      <c r="AM66" s="18">
        <f>AM62</f>
        <v>322.538</v>
      </c>
      <c r="AN66" s="6">
        <f aca="true" t="shared" si="10" ref="AN66:AO68">AN58+AN62</f>
        <v>7330.228892192547</v>
      </c>
      <c r="AO66" s="6">
        <f t="shared" si="10"/>
        <v>2364277.36643</v>
      </c>
      <c r="AP66" s="18">
        <f>AP62</f>
        <v>310.211</v>
      </c>
      <c r="AQ66" s="6">
        <f aca="true" t="shared" si="11" ref="AQ66:AR68">AQ58+AQ62</f>
        <v>5263.368803137219</v>
      </c>
      <c r="AR66" s="6">
        <f t="shared" si="11"/>
        <v>1632754.89979</v>
      </c>
      <c r="AS66" s="18">
        <f>AS62</f>
        <v>277.60762</v>
      </c>
      <c r="AT66" s="6">
        <f aca="true" t="shared" si="12" ref="AT66:AU68">AT58+AT62</f>
        <v>4718.918832990522</v>
      </c>
      <c r="AU66" s="6">
        <f t="shared" si="12"/>
        <v>1310005.3740941999</v>
      </c>
      <c r="AV66" s="18">
        <f>AV62</f>
        <v>287.928</v>
      </c>
      <c r="AW66" s="6">
        <f aca="true" t="shared" si="13" ref="AW66:AX68">AW58+AW62</f>
        <v>4252.89</v>
      </c>
      <c r="AX66" s="6">
        <f t="shared" si="13"/>
        <v>1224526.11192</v>
      </c>
      <c r="AY66" s="5">
        <v>278.337</v>
      </c>
      <c r="AZ66" s="5">
        <f>BA66/AY66</f>
        <v>2500.1960696685237</v>
      </c>
      <c r="BA66" s="6">
        <v>695897.0734433279</v>
      </c>
      <c r="BB66" s="5">
        <v>305.484</v>
      </c>
      <c r="BC66" s="5">
        <f>BD66/BB66</f>
        <v>1499.2983578812025</v>
      </c>
      <c r="BD66" s="6">
        <v>458011.65955898125</v>
      </c>
      <c r="BE66" s="5">
        <v>305.726</v>
      </c>
      <c r="BF66" s="5">
        <f>BG66/BE66</f>
        <v>1299.7226618306358</v>
      </c>
      <c r="BG66" s="6">
        <v>397359.01051083294</v>
      </c>
    </row>
    <row r="67" spans="1:59" ht="14.25">
      <c r="A67" s="4" t="s">
        <v>2</v>
      </c>
      <c r="B67" s="4" t="s">
        <v>12</v>
      </c>
      <c r="C67" s="101">
        <f>C59</f>
        <v>211.26803</v>
      </c>
      <c r="D67" s="64">
        <f>E67/C67</f>
        <v>25994.45177365454</v>
      </c>
      <c r="E67" s="31">
        <v>5491796.61715</v>
      </c>
      <c r="F67" s="101">
        <f>F59</f>
        <v>175.76199</v>
      </c>
      <c r="G67" s="64">
        <f>H67/F67</f>
        <v>31927.308332421588</v>
      </c>
      <c r="H67" s="64">
        <v>5611607.24785</v>
      </c>
      <c r="I67" s="101">
        <f>I59</f>
        <v>211.81281</v>
      </c>
      <c r="J67" s="64">
        <f>K67/I67</f>
        <v>16699.32757641051</v>
      </c>
      <c r="K67" s="64">
        <f>K59+K63</f>
        <v>3537131.49907</v>
      </c>
      <c r="L67" s="37">
        <f>L59</f>
        <v>199.01538</v>
      </c>
      <c r="M67" s="31">
        <f>N67/L67</f>
        <v>12008.407602015483</v>
      </c>
      <c r="N67" s="31">
        <f>N59+N63</f>
        <v>2389857.80211</v>
      </c>
      <c r="O67" s="37">
        <f>O59</f>
        <v>137.29677</v>
      </c>
      <c r="P67" s="31">
        <f>Q67/O67</f>
        <v>14585.494974572233</v>
      </c>
      <c r="Q67" s="31">
        <f>Q59+Q63</f>
        <v>2002541.34886</v>
      </c>
      <c r="R67" s="37">
        <f>R59</f>
        <v>211.03218</v>
      </c>
      <c r="S67" s="31">
        <f>T67/R67</f>
        <v>10998.345284543806</v>
      </c>
      <c r="T67" s="31">
        <f>T59+T63</f>
        <v>2321004.78179</v>
      </c>
      <c r="U67" s="37">
        <f>U59</f>
        <v>200.28023399999998</v>
      </c>
      <c r="V67" s="31">
        <f>W67/U67</f>
        <v>8965.970546049992</v>
      </c>
      <c r="W67" s="31">
        <f>W59+W63</f>
        <v>1795706.679</v>
      </c>
      <c r="X67" s="37">
        <f>X59</f>
        <v>177.42873</v>
      </c>
      <c r="Y67" s="31">
        <f>Z67/X67</f>
        <v>10040.12817321073</v>
      </c>
      <c r="Z67" s="31">
        <f>Z59+Z63</f>
        <v>1781407.19081</v>
      </c>
      <c r="AA67" s="18">
        <f>AA63</f>
        <v>179.10761</v>
      </c>
      <c r="AB67" s="6">
        <f>AB59+AB63</f>
        <v>11087.539376970082</v>
      </c>
      <c r="AC67" s="6">
        <f>AB67*AA67</f>
        <v>1985862.6785900004</v>
      </c>
      <c r="AD67" s="18">
        <f>AD63</f>
        <v>150.15705</v>
      </c>
      <c r="AE67" s="6">
        <f>AE59+AE63</f>
        <v>6951.433572183257</v>
      </c>
      <c r="AF67" s="6">
        <f>AE67*AD67</f>
        <v>1043806.7584699999</v>
      </c>
      <c r="AG67" s="18">
        <f>AG63</f>
        <v>172.20095</v>
      </c>
      <c r="AH67" s="6">
        <f>AH59+AH63</f>
        <v>8437.1795</v>
      </c>
      <c r="AI67" s="6">
        <f>AH67*AG67</f>
        <v>1452890.325220525</v>
      </c>
      <c r="AJ67" s="18">
        <f>AJ63</f>
        <v>141.834953</v>
      </c>
      <c r="AK67" s="6">
        <f>AK59+AK63</f>
        <v>10577.919713556079</v>
      </c>
      <c r="AL67" s="6">
        <f>AK67*AJ67</f>
        <v>1500318.74541</v>
      </c>
      <c r="AM67" s="5">
        <f>AM63</f>
        <v>169.71454</v>
      </c>
      <c r="AN67" s="6">
        <f t="shared" si="10"/>
        <v>7405.040122136854</v>
      </c>
      <c r="AO67" s="6">
        <f t="shared" si="10"/>
        <v>1282271.03104</v>
      </c>
      <c r="AP67" s="5">
        <f>AP63</f>
        <v>153.78056999999998</v>
      </c>
      <c r="AQ67" s="6">
        <f t="shared" si="11"/>
        <v>5549.464900799887</v>
      </c>
      <c r="AR67" s="6">
        <f t="shared" si="11"/>
        <v>853399.87564</v>
      </c>
      <c r="AS67" s="5">
        <f>AS63</f>
        <v>155.086</v>
      </c>
      <c r="AT67" s="6">
        <f t="shared" si="12"/>
        <v>4774.506285157911</v>
      </c>
      <c r="AU67" s="6">
        <f t="shared" si="12"/>
        <v>740459.08174</v>
      </c>
      <c r="AV67" s="5">
        <f>AV63</f>
        <v>112.885</v>
      </c>
      <c r="AW67" s="6">
        <f t="shared" si="13"/>
        <v>4612.317691455906</v>
      </c>
      <c r="AX67" s="6">
        <f t="shared" si="13"/>
        <v>520661.4826</v>
      </c>
      <c r="AY67" s="8">
        <v>168.932</v>
      </c>
      <c r="AZ67" s="8">
        <f>BA67/AY67</f>
        <v>2547.744753036725</v>
      </c>
      <c r="BA67" s="7">
        <v>430395.61662</v>
      </c>
      <c r="BB67" s="7">
        <v>151.108</v>
      </c>
      <c r="BC67" s="8">
        <f>BD67/BB67</f>
        <v>1491.5854838261375</v>
      </c>
      <c r="BD67" s="7">
        <v>225390.49929</v>
      </c>
      <c r="BE67" s="7">
        <v>178.008</v>
      </c>
      <c r="BF67" s="8">
        <f>BG67/BE67</f>
        <v>1314.1831124443845</v>
      </c>
      <c r="BG67" s="7">
        <v>233935.10748</v>
      </c>
    </row>
    <row r="68" spans="1:59" ht="15">
      <c r="A68" s="9" t="s">
        <v>3</v>
      </c>
      <c r="B68" s="9" t="s">
        <v>13</v>
      </c>
      <c r="C68" s="11">
        <f>C64</f>
        <v>551.87103</v>
      </c>
      <c r="D68" s="11">
        <f>E68/C68</f>
        <v>26352.468196002246</v>
      </c>
      <c r="E68" s="11">
        <f>E60+E64</f>
        <v>14543163.766370002</v>
      </c>
      <c r="F68" s="11">
        <f>F64</f>
        <v>509.96599000000003</v>
      </c>
      <c r="G68" s="11">
        <f>H68/F68</f>
        <v>33007.84106653857</v>
      </c>
      <c r="H68" s="11">
        <f>H60+H64</f>
        <v>16832876.34726</v>
      </c>
      <c r="I68" s="11">
        <f>I64</f>
        <v>631.52808</v>
      </c>
      <c r="J68" s="11">
        <f>K68/I68</f>
        <v>16925.60831432863</v>
      </c>
      <c r="K68" s="11">
        <f>K60+K64</f>
        <v>10688996.921579998</v>
      </c>
      <c r="L68" s="11">
        <f>L64</f>
        <v>579.84935</v>
      </c>
      <c r="M68" s="11">
        <f>N68/L68</f>
        <v>11819.454822377571</v>
      </c>
      <c r="N68" s="11">
        <f>N60+N64</f>
        <v>6853503.19611</v>
      </c>
      <c r="O68" s="11">
        <f>O64</f>
        <v>468.63332</v>
      </c>
      <c r="P68" s="11">
        <f>Q68/O68</f>
        <v>14231.800820436749</v>
      </c>
      <c r="Q68" s="11">
        <f>Q60+Q64</f>
        <v>6669496.068059998</v>
      </c>
      <c r="R68" s="11">
        <f>R64</f>
        <v>606.49967</v>
      </c>
      <c r="S68" s="11">
        <f>T68/R68</f>
        <v>10913.285513048997</v>
      </c>
      <c r="T68" s="11">
        <f>T60+T64</f>
        <v>6618904.062279997</v>
      </c>
      <c r="U68" s="11">
        <f>U64</f>
        <v>586.180534</v>
      </c>
      <c r="V68" s="11">
        <f>W68/U68</f>
        <v>8899.186400226044</v>
      </c>
      <c r="W68" s="11">
        <f>W60+W64</f>
        <v>5216529.83625004</v>
      </c>
      <c r="X68" s="11">
        <f>X64</f>
        <v>483.43472999999994</v>
      </c>
      <c r="Y68" s="11">
        <f>Z68/X68</f>
        <v>9876.673790730756</v>
      </c>
      <c r="Z68" s="11">
        <f>Z60+Z64</f>
        <v>4774727.127319999</v>
      </c>
      <c r="AA68" s="11">
        <f>AA64</f>
        <v>508.86761</v>
      </c>
      <c r="AB68" s="11">
        <f>AC68/AA68</f>
        <v>11084.61169143778</v>
      </c>
      <c r="AC68" s="11">
        <f>AC60+AC64</f>
        <v>5640599.859200001</v>
      </c>
      <c r="AD68" s="11">
        <f>AD64</f>
        <v>476.88154999999995</v>
      </c>
      <c r="AE68" s="11">
        <f>AF68/AD68</f>
        <v>6816.939900275027</v>
      </c>
      <c r="AF68" s="11">
        <f>AF60+AF64</f>
        <v>3250872.8659</v>
      </c>
      <c r="AG68" s="11">
        <f>AG64</f>
        <v>481.82495000000006</v>
      </c>
      <c r="AH68" s="11">
        <f>AI68/AG68</f>
        <v>8286.057376668694</v>
      </c>
      <c r="AI68" s="11">
        <f>AI60+AI64</f>
        <v>3992429.1812105253</v>
      </c>
      <c r="AJ68" s="11">
        <f>AJ64</f>
        <v>458.02095299999996</v>
      </c>
      <c r="AK68" s="11">
        <f>AL68/AJ68</f>
        <v>10279.159973408467</v>
      </c>
      <c r="AL68" s="11">
        <f>AL60+AL64</f>
        <v>4708070.64706</v>
      </c>
      <c r="AM68" s="11">
        <f>AM64</f>
        <v>492.25254</v>
      </c>
      <c r="AN68" s="11">
        <f>AO68/AM68</f>
        <v>7407.881323415822</v>
      </c>
      <c r="AO68" s="11">
        <f t="shared" si="10"/>
        <v>3646548.39747</v>
      </c>
      <c r="AP68" s="11">
        <f>AP64</f>
        <v>463.99157</v>
      </c>
      <c r="AQ68" s="11">
        <f>AR68/AP68</f>
        <v>5358.1895365685195</v>
      </c>
      <c r="AR68" s="11">
        <f t="shared" si="11"/>
        <v>2486154.77543</v>
      </c>
      <c r="AS68" s="11">
        <f>AS64</f>
        <v>432.69362</v>
      </c>
      <c r="AT68" s="11">
        <f>AU68/AS68</f>
        <v>4738.836814451297</v>
      </c>
      <c r="AU68" s="11">
        <f t="shared" si="12"/>
        <v>2050464.4558342</v>
      </c>
      <c r="AV68" s="11">
        <f>AV64</f>
        <v>400.813</v>
      </c>
      <c r="AW68" s="11">
        <f>AX68/AV68</f>
        <v>4354.119238946841</v>
      </c>
      <c r="AX68" s="11">
        <f t="shared" si="13"/>
        <v>1745187.59452</v>
      </c>
      <c r="AY68" s="10">
        <f>AY66+AY67</f>
        <v>447.269</v>
      </c>
      <c r="AZ68" s="10">
        <f>BA68/AY68</f>
        <v>2518.1550477751152</v>
      </c>
      <c r="BA68" s="11">
        <f>BA66+BA67</f>
        <v>1126292.690063328</v>
      </c>
      <c r="BB68" s="10">
        <f>BB66+BB67</f>
        <v>456.592</v>
      </c>
      <c r="BC68" s="10">
        <f>BD68/BB68</f>
        <v>1496.7458011725596</v>
      </c>
      <c r="BD68" s="11">
        <f>BD66+BD67</f>
        <v>683402.1588489813</v>
      </c>
      <c r="BE68" s="10">
        <f>BE66+BE67</f>
        <v>483.73400000000004</v>
      </c>
      <c r="BF68" s="10">
        <f>BG68/BE68</f>
        <v>1305.0439249480767</v>
      </c>
      <c r="BG68" s="11">
        <f>BG66+BG67</f>
        <v>631294.117990833</v>
      </c>
    </row>
    <row r="69" spans="1:59" s="29" customFormat="1" ht="14.25">
      <c r="A69" s="30" t="s">
        <v>30</v>
      </c>
      <c r="B69" s="30" t="s">
        <v>33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2">
        <v>119.01087</v>
      </c>
      <c r="AB69" s="6">
        <f>AC69/AA69</f>
        <v>19192.540383021755</v>
      </c>
      <c r="AC69" s="6">
        <v>2284120.9284935524</v>
      </c>
      <c r="AD69" s="16">
        <v>145.458</v>
      </c>
      <c r="AE69" s="6">
        <f>AF69/AD69</f>
        <v>11307.166329799667</v>
      </c>
      <c r="AF69" s="6">
        <v>1644717.8</v>
      </c>
      <c r="AG69" s="16">
        <v>140.64347</v>
      </c>
      <c r="AH69" s="6">
        <v>11802.936424472537</v>
      </c>
      <c r="AI69" s="6">
        <f>AG69*AH69</f>
        <v>1660005.9349272104</v>
      </c>
      <c r="AJ69" s="16">
        <v>152.60737</v>
      </c>
      <c r="AK69" s="6">
        <v>14627.540858946853</v>
      </c>
      <c r="AL69" s="6">
        <f>AJ69*AK69</f>
        <v>2232270.54005142</v>
      </c>
      <c r="AM69" s="16">
        <v>153.357</v>
      </c>
      <c r="AN69" s="6">
        <f>AO69/AM69</f>
        <v>13577.613020598994</v>
      </c>
      <c r="AO69" s="6">
        <v>2082222</v>
      </c>
      <c r="AP69" s="16">
        <v>148.691</v>
      </c>
      <c r="AQ69" s="6">
        <f>AR69/AP69</f>
        <v>10508.01326240324</v>
      </c>
      <c r="AR69" s="17">
        <v>1562447</v>
      </c>
      <c r="AS69" s="31">
        <v>92.604</v>
      </c>
      <c r="AT69" s="6">
        <f>AU69/AS69</f>
        <v>13638.71970973176</v>
      </c>
      <c r="AU69" s="31">
        <v>1263000</v>
      </c>
      <c r="AV69" s="31"/>
      <c r="AW69" s="6"/>
      <c r="AX69" s="31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1:59" ht="15">
      <c r="A70" s="9" t="s">
        <v>31</v>
      </c>
      <c r="B70" s="9" t="s">
        <v>32</v>
      </c>
      <c r="C70" s="11">
        <f>C64+C69</f>
        <v>551.87103</v>
      </c>
      <c r="D70" s="11">
        <f>E70/C70</f>
        <v>26352.468196002246</v>
      </c>
      <c r="E70" s="11">
        <f>E64+E69+E60</f>
        <v>14543163.766370002</v>
      </c>
      <c r="F70" s="11">
        <f>F64+F69</f>
        <v>509.96599000000003</v>
      </c>
      <c r="G70" s="11">
        <f>H70/F70</f>
        <v>33007.84106653857</v>
      </c>
      <c r="H70" s="11">
        <f>H64+H69+H60</f>
        <v>16832876.34726</v>
      </c>
      <c r="I70" s="11">
        <f>I64+I69</f>
        <v>631.52808</v>
      </c>
      <c r="J70" s="11">
        <f>K70/I70</f>
        <v>16925.60831432863</v>
      </c>
      <c r="K70" s="11">
        <f>K64+K69+K60</f>
        <v>10688996.921579998</v>
      </c>
      <c r="L70" s="11">
        <f>L64+L69</f>
        <v>579.84935</v>
      </c>
      <c r="M70" s="11">
        <f>N70/L70</f>
        <v>11819.454822377571</v>
      </c>
      <c r="N70" s="11">
        <f>N64+N69+N60</f>
        <v>6853503.19611</v>
      </c>
      <c r="O70" s="11">
        <f>O64+O69</f>
        <v>468.63332</v>
      </c>
      <c r="P70" s="11">
        <f>Q70/O70</f>
        <v>14231.800820436749</v>
      </c>
      <c r="Q70" s="11">
        <f>Q64+Q69+Q60</f>
        <v>6669496.068059998</v>
      </c>
      <c r="R70" s="11">
        <f>R64+R69</f>
        <v>606.49967</v>
      </c>
      <c r="S70" s="11">
        <f>T70/R70</f>
        <v>10913.285513048997</v>
      </c>
      <c r="T70" s="11">
        <f>T64+T69+T60</f>
        <v>6618904.062279997</v>
      </c>
      <c r="U70" s="11">
        <f>U64+U69</f>
        <v>586.180534</v>
      </c>
      <c r="V70" s="11">
        <f>W70/U70</f>
        <v>8899.186400226044</v>
      </c>
      <c r="W70" s="11">
        <f>W64+W69+W60</f>
        <v>5216529.83625004</v>
      </c>
      <c r="X70" s="11">
        <f>X64+X69</f>
        <v>483.43472999999994</v>
      </c>
      <c r="Y70" s="11">
        <f>Z70/X70</f>
        <v>9876.673790730756</v>
      </c>
      <c r="Z70" s="11">
        <f>Z64+Z69+Z60</f>
        <v>4774727.127319999</v>
      </c>
      <c r="AA70" s="11">
        <f>AA64+AA69</f>
        <v>627.87848</v>
      </c>
      <c r="AB70" s="11">
        <f>AC70/AA70</f>
        <v>12621.424431832022</v>
      </c>
      <c r="AC70" s="11">
        <f>AC64+AC69+AC60</f>
        <v>7924720.787693553</v>
      </c>
      <c r="AD70" s="11">
        <f>AD64+AD69</f>
        <v>622.3395499999999</v>
      </c>
      <c r="AE70" s="11">
        <f>AF70/AD70</f>
        <v>7866.4302564412</v>
      </c>
      <c r="AF70" s="11">
        <f>AF64+AF69+AF60</f>
        <v>4895590.6659</v>
      </c>
      <c r="AG70" s="11">
        <f>AG64+AG69</f>
        <v>622.46842</v>
      </c>
      <c r="AH70" s="11">
        <f>AI70/AG70</f>
        <v>9080.677725205296</v>
      </c>
      <c r="AI70" s="11">
        <f>AI64+AI69+AI60</f>
        <v>5652435.116137736</v>
      </c>
      <c r="AJ70" s="11">
        <f>AJ64+AJ69</f>
        <v>610.6283229999999</v>
      </c>
      <c r="AK70" s="11">
        <f>AL70/AJ70</f>
        <v>11365.901196678395</v>
      </c>
      <c r="AL70" s="11">
        <f>AL64+AL69+AL60</f>
        <v>6940341.187111421</v>
      </c>
      <c r="AM70" s="11">
        <f>AM64+AM69</f>
        <v>645.60954</v>
      </c>
      <c r="AN70" s="11">
        <f>AO70/AM70</f>
        <v>8873.428972982649</v>
      </c>
      <c r="AO70" s="11">
        <f>AO64+AO69+AO60</f>
        <v>5728770.39747</v>
      </c>
      <c r="AP70" s="11">
        <f>AP64+AP69</f>
        <v>612.68257</v>
      </c>
      <c r="AQ70" s="11">
        <f>AR70/AP70</f>
        <v>6607.992415109833</v>
      </c>
      <c r="AR70" s="11">
        <f>AR64+AR69+AR60</f>
        <v>4048601.77543</v>
      </c>
      <c r="AS70" s="11">
        <f>AS64+AS69</f>
        <v>525.29762</v>
      </c>
      <c r="AT70" s="11">
        <f>AU70/AS70</f>
        <v>6307.785014967704</v>
      </c>
      <c r="AU70" s="11">
        <f>AU64+AU69+AU60</f>
        <v>3313464.4558341997</v>
      </c>
      <c r="AV70" s="11"/>
      <c r="AW70" s="11"/>
      <c r="AX70" s="11"/>
      <c r="AY70" s="3"/>
      <c r="AZ70" s="3"/>
      <c r="BA70" s="3"/>
      <c r="BB70" s="3"/>
      <c r="BC70" s="3"/>
      <c r="BD70" s="3"/>
      <c r="BE70" s="3"/>
      <c r="BF70" s="3"/>
      <c r="BG70" s="3"/>
    </row>
    <row r="71" spans="1:2" ht="14.25">
      <c r="A71" s="2" t="s">
        <v>28</v>
      </c>
      <c r="B71" s="2" t="s">
        <v>29</v>
      </c>
    </row>
    <row r="72" spans="12:25" ht="14.25">
      <c r="L72" s="58"/>
      <c r="M72" s="59"/>
      <c r="N72" s="59"/>
      <c r="O72" s="58"/>
      <c r="P72" s="59"/>
      <c r="Q72" s="59"/>
      <c r="R72" s="58"/>
      <c r="S72" s="59"/>
      <c r="T72" s="59"/>
      <c r="V72" s="55"/>
      <c r="Y72" s="55"/>
    </row>
    <row r="73" spans="14:17" ht="14.25">
      <c r="N73" s="59"/>
      <c r="Q73" s="59"/>
    </row>
    <row r="74" ht="14.25"/>
    <row r="75" spans="1:59" ht="15.75">
      <c r="A75" s="20" t="s">
        <v>54</v>
      </c>
      <c r="B75" s="20" t="s">
        <v>55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60" s="27" customFormat="1" ht="15" customHeight="1">
      <c r="A76" s="28"/>
      <c r="B76" s="28"/>
      <c r="C76" s="136">
        <f>C55</f>
        <v>2023</v>
      </c>
      <c r="D76" s="136"/>
      <c r="E76" s="136"/>
      <c r="F76" s="136">
        <f>F55</f>
        <v>2022</v>
      </c>
      <c r="G76" s="136"/>
      <c r="H76" s="136"/>
      <c r="I76" s="136">
        <f>I55</f>
        <v>2021</v>
      </c>
      <c r="J76" s="136"/>
      <c r="K76" s="136"/>
      <c r="L76" s="136">
        <f>L55</f>
        <v>2020</v>
      </c>
      <c r="M76" s="136"/>
      <c r="N76" s="136"/>
      <c r="O76" s="136">
        <f>O55</f>
        <v>2019</v>
      </c>
      <c r="P76" s="136"/>
      <c r="Q76" s="136"/>
      <c r="R76" s="136">
        <f>R55</f>
        <v>2018</v>
      </c>
      <c r="S76" s="136"/>
      <c r="T76" s="136"/>
      <c r="U76" s="136">
        <f>U55</f>
        <v>2017</v>
      </c>
      <c r="V76" s="136"/>
      <c r="W76" s="136"/>
      <c r="X76" s="136">
        <f>X55</f>
        <v>2016</v>
      </c>
      <c r="Y76" s="136"/>
      <c r="Z76" s="136"/>
      <c r="AA76" s="136">
        <f>AA55</f>
        <v>2015</v>
      </c>
      <c r="AB76" s="136"/>
      <c r="AC76" s="136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38"/>
    </row>
    <row r="77" spans="1:60" s="24" customFormat="1" ht="33.75" customHeight="1">
      <c r="A77" s="25"/>
      <c r="B77" s="25"/>
      <c r="C77" s="22" t="s">
        <v>27</v>
      </c>
      <c r="D77" s="22" t="s">
        <v>25</v>
      </c>
      <c r="E77" s="22" t="s">
        <v>26</v>
      </c>
      <c r="F77" s="22" t="s">
        <v>27</v>
      </c>
      <c r="G77" s="22" t="s">
        <v>25</v>
      </c>
      <c r="H77" s="22" t="s">
        <v>26</v>
      </c>
      <c r="I77" s="22" t="s">
        <v>27</v>
      </c>
      <c r="J77" s="22" t="s">
        <v>25</v>
      </c>
      <c r="K77" s="22" t="s">
        <v>26</v>
      </c>
      <c r="L77" s="22" t="s">
        <v>27</v>
      </c>
      <c r="M77" s="22" t="s">
        <v>25</v>
      </c>
      <c r="N77" s="22" t="s">
        <v>26</v>
      </c>
      <c r="O77" s="22" t="s">
        <v>27</v>
      </c>
      <c r="P77" s="22" t="s">
        <v>25</v>
      </c>
      <c r="Q77" s="22" t="s">
        <v>26</v>
      </c>
      <c r="R77" s="22" t="s">
        <v>27</v>
      </c>
      <c r="S77" s="22" t="s">
        <v>25</v>
      </c>
      <c r="T77" s="22" t="s">
        <v>26</v>
      </c>
      <c r="U77" s="22" t="s">
        <v>27</v>
      </c>
      <c r="V77" s="22" t="s">
        <v>25</v>
      </c>
      <c r="W77" s="22" t="s">
        <v>26</v>
      </c>
      <c r="X77" s="22" t="s">
        <v>27</v>
      </c>
      <c r="Y77" s="22" t="s">
        <v>25</v>
      </c>
      <c r="Z77" s="22" t="s">
        <v>26</v>
      </c>
      <c r="AA77" s="22" t="s">
        <v>27</v>
      </c>
      <c r="AB77" s="22" t="s">
        <v>25</v>
      </c>
      <c r="AC77" s="22" t="s">
        <v>26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39"/>
    </row>
    <row r="78" spans="1:60" s="24" customFormat="1" ht="28.5">
      <c r="A78" s="25"/>
      <c r="B78" s="25"/>
      <c r="C78" s="22" t="s">
        <v>18</v>
      </c>
      <c r="D78" s="22" t="s">
        <v>19</v>
      </c>
      <c r="E78" s="22" t="s">
        <v>17</v>
      </c>
      <c r="F78" s="22" t="s">
        <v>18</v>
      </c>
      <c r="G78" s="22" t="s">
        <v>19</v>
      </c>
      <c r="H78" s="22" t="s">
        <v>17</v>
      </c>
      <c r="I78" s="22" t="s">
        <v>18</v>
      </c>
      <c r="J78" s="22" t="s">
        <v>19</v>
      </c>
      <c r="K78" s="22" t="s">
        <v>17</v>
      </c>
      <c r="L78" s="22" t="s">
        <v>18</v>
      </c>
      <c r="M78" s="22" t="s">
        <v>19</v>
      </c>
      <c r="N78" s="22" t="s">
        <v>17</v>
      </c>
      <c r="O78" s="22" t="s">
        <v>18</v>
      </c>
      <c r="P78" s="22" t="s">
        <v>19</v>
      </c>
      <c r="Q78" s="22" t="s">
        <v>17</v>
      </c>
      <c r="R78" s="22" t="s">
        <v>18</v>
      </c>
      <c r="S78" s="22" t="s">
        <v>19</v>
      </c>
      <c r="T78" s="22" t="s">
        <v>17</v>
      </c>
      <c r="U78" s="22" t="s">
        <v>18</v>
      </c>
      <c r="V78" s="22" t="s">
        <v>19</v>
      </c>
      <c r="W78" s="22" t="s">
        <v>17</v>
      </c>
      <c r="X78" s="22" t="s">
        <v>18</v>
      </c>
      <c r="Y78" s="22" t="s">
        <v>19</v>
      </c>
      <c r="Z78" s="22" t="s">
        <v>17</v>
      </c>
      <c r="AA78" s="22" t="s">
        <v>18</v>
      </c>
      <c r="AB78" s="22" t="s">
        <v>19</v>
      </c>
      <c r="AC78" s="22" t="s">
        <v>17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39"/>
    </row>
    <row r="79" spans="1:60" ht="14.25">
      <c r="A79" s="4" t="s">
        <v>1</v>
      </c>
      <c r="B79" s="4" t="s">
        <v>11</v>
      </c>
      <c r="C79" s="101">
        <v>0</v>
      </c>
      <c r="D79" s="64"/>
      <c r="E79" s="64">
        <v>0</v>
      </c>
      <c r="F79" s="101">
        <v>0</v>
      </c>
      <c r="G79" s="64"/>
      <c r="H79" s="64">
        <v>0</v>
      </c>
      <c r="I79" s="101">
        <v>3.441956</v>
      </c>
      <c r="J79" s="64">
        <f>K79/I79</f>
        <v>37700.086619352485</v>
      </c>
      <c r="K79" s="64">
        <v>129762.03934</v>
      </c>
      <c r="L79" s="37">
        <f>5.471804+0.21</f>
        <v>5.681804</v>
      </c>
      <c r="M79" s="31">
        <f>N79/L79</f>
        <v>31331.94740892632</v>
      </c>
      <c r="N79" s="31">
        <v>178021.9841158272</v>
      </c>
      <c r="O79" s="37">
        <v>6.803206</v>
      </c>
      <c r="P79" s="31">
        <f>Q79/O79</f>
        <v>34287.624895405614</v>
      </c>
      <c r="Q79" s="31">
        <v>233265.77541417285</v>
      </c>
      <c r="R79" s="37">
        <v>3.368911</v>
      </c>
      <c r="S79" s="31">
        <v>28037.445690614008</v>
      </c>
      <c r="T79" s="31">
        <f>R79*S79</f>
        <v>94455.65919901214</v>
      </c>
      <c r="U79" s="37">
        <v>1.15</v>
      </c>
      <c r="V79" s="31">
        <v>30248.790038694413</v>
      </c>
      <c r="W79" s="31">
        <f>U79*V79</f>
        <v>34786.10854449857</v>
      </c>
      <c r="X79" s="37">
        <v>8.8083</v>
      </c>
      <c r="Y79" s="31">
        <v>38420.772151713165</v>
      </c>
      <c r="Z79" s="31">
        <f>X79*Y79</f>
        <v>338421.687343935</v>
      </c>
      <c r="AA79" s="37">
        <v>1.01301</v>
      </c>
      <c r="AB79" s="31">
        <v>42355.20034353067</v>
      </c>
      <c r="AC79" s="31">
        <f>AA79*AB79</f>
        <v>42906.241500000004</v>
      </c>
      <c r="AD79" s="42"/>
      <c r="AE79" s="43"/>
      <c r="AF79" s="43"/>
      <c r="AG79" s="42"/>
      <c r="AH79" s="43"/>
      <c r="AI79" s="43"/>
      <c r="AJ79" s="42"/>
      <c r="AK79" s="43"/>
      <c r="AL79" s="43"/>
      <c r="AM79" s="42"/>
      <c r="AN79" s="43"/>
      <c r="AO79" s="43"/>
      <c r="AP79" s="42"/>
      <c r="AQ79" s="43"/>
      <c r="AR79" s="43"/>
      <c r="AS79" s="42"/>
      <c r="AT79" s="43"/>
      <c r="AU79" s="43"/>
      <c r="AV79" s="42"/>
      <c r="AW79" s="43"/>
      <c r="AX79" s="43"/>
      <c r="AY79" s="44"/>
      <c r="AZ79" s="44"/>
      <c r="BA79" s="43"/>
      <c r="BB79" s="44"/>
      <c r="BC79" s="44"/>
      <c r="BD79" s="43"/>
      <c r="BE79" s="44"/>
      <c r="BF79" s="44"/>
      <c r="BG79" s="43"/>
      <c r="BH79" s="29"/>
    </row>
    <row r="80" spans="1:60" ht="14.25">
      <c r="A80" s="4" t="s">
        <v>2</v>
      </c>
      <c r="B80" s="4" t="s">
        <v>12</v>
      </c>
      <c r="C80" s="4">
        <v>0</v>
      </c>
      <c r="D80" s="4"/>
      <c r="E80" s="4">
        <v>0</v>
      </c>
      <c r="F80" s="4">
        <v>0</v>
      </c>
      <c r="G80" s="4"/>
      <c r="H80" s="4">
        <v>0</v>
      </c>
      <c r="I80" s="4">
        <v>0</v>
      </c>
      <c r="J80" s="4"/>
      <c r="K80" s="4">
        <v>0</v>
      </c>
      <c r="L80" s="4">
        <v>0</v>
      </c>
      <c r="M80" s="4"/>
      <c r="N80" s="4">
        <v>0</v>
      </c>
      <c r="O80" s="4">
        <v>0</v>
      </c>
      <c r="P80" s="4"/>
      <c r="Q80" s="4">
        <v>0</v>
      </c>
      <c r="R80" s="4">
        <v>0</v>
      </c>
      <c r="S80" s="4"/>
      <c r="T80" s="4">
        <v>0</v>
      </c>
      <c r="U80" s="4">
        <v>0</v>
      </c>
      <c r="V80" s="4"/>
      <c r="W80" s="4">
        <v>0</v>
      </c>
      <c r="X80" s="4">
        <v>0</v>
      </c>
      <c r="Y80" s="4"/>
      <c r="Z80" s="4">
        <v>0</v>
      </c>
      <c r="AA80" s="5">
        <v>0</v>
      </c>
      <c r="AB80" s="6"/>
      <c r="AC80" s="6">
        <v>0</v>
      </c>
      <c r="AD80" s="44"/>
      <c r="AE80" s="43"/>
      <c r="AF80" s="43"/>
      <c r="AG80" s="44"/>
      <c r="AH80" s="43"/>
      <c r="AI80" s="43"/>
      <c r="AJ80" s="44"/>
      <c r="AK80" s="43"/>
      <c r="AL80" s="43"/>
      <c r="AM80" s="44"/>
      <c r="AN80" s="43"/>
      <c r="AO80" s="43"/>
      <c r="AP80" s="44"/>
      <c r="AQ80" s="43"/>
      <c r="AR80" s="43"/>
      <c r="AS80" s="44"/>
      <c r="AT80" s="43"/>
      <c r="AU80" s="43"/>
      <c r="AV80" s="44"/>
      <c r="AW80" s="43"/>
      <c r="AX80" s="43"/>
      <c r="AY80" s="44"/>
      <c r="AZ80" s="44"/>
      <c r="BA80" s="43"/>
      <c r="BB80" s="43"/>
      <c r="BC80" s="44"/>
      <c r="BD80" s="43"/>
      <c r="BE80" s="43"/>
      <c r="BF80" s="44"/>
      <c r="BG80" s="43"/>
      <c r="BH80" s="29"/>
    </row>
    <row r="81" spans="1:60" ht="15">
      <c r="A81" s="9" t="s">
        <v>3</v>
      </c>
      <c r="B81" s="9" t="s">
        <v>13</v>
      </c>
      <c r="C81" s="11">
        <f>C79+C80</f>
        <v>0</v>
      </c>
      <c r="D81" s="11"/>
      <c r="E81" s="11">
        <f>E79+E80</f>
        <v>0</v>
      </c>
      <c r="F81" s="11">
        <f>F79+F80</f>
        <v>0</v>
      </c>
      <c r="G81" s="11"/>
      <c r="H81" s="11">
        <f>H79+H80</f>
        <v>0</v>
      </c>
      <c r="I81" s="11">
        <f>I79+I80</f>
        <v>3.441956</v>
      </c>
      <c r="J81" s="11">
        <f>K81/I81</f>
        <v>37700.086619352485</v>
      </c>
      <c r="K81" s="11">
        <f>K79+K80</f>
        <v>129762.03934</v>
      </c>
      <c r="L81" s="11">
        <f>L79+L80</f>
        <v>5.681804</v>
      </c>
      <c r="M81" s="11">
        <f>N81/L81</f>
        <v>31331.94740892632</v>
      </c>
      <c r="N81" s="11">
        <f>N79+N80</f>
        <v>178021.9841158272</v>
      </c>
      <c r="O81" s="11">
        <f>O79+O80</f>
        <v>6.803206</v>
      </c>
      <c r="P81" s="11">
        <f>Q81/O81</f>
        <v>34287.624895405614</v>
      </c>
      <c r="Q81" s="11">
        <f>Q79+Q80</f>
        <v>233265.77541417285</v>
      </c>
      <c r="R81" s="11">
        <f>R79+R80</f>
        <v>3.368911</v>
      </c>
      <c r="S81" s="11">
        <f>T81/R81</f>
        <v>28037.445690614008</v>
      </c>
      <c r="T81" s="11">
        <f>T79+T80</f>
        <v>94455.65919901214</v>
      </c>
      <c r="U81" s="11">
        <f>U79+U80</f>
        <v>1.15</v>
      </c>
      <c r="V81" s="11">
        <f>W81/U81</f>
        <v>30248.790038694413</v>
      </c>
      <c r="W81" s="11">
        <f>W79+W80</f>
        <v>34786.10854449857</v>
      </c>
      <c r="X81" s="11">
        <f>X79+X80</f>
        <v>8.8083</v>
      </c>
      <c r="Y81" s="11">
        <f>Z81/X81</f>
        <v>38420.772151713165</v>
      </c>
      <c r="Z81" s="11">
        <f>Z79+Z80</f>
        <v>338421.687343935</v>
      </c>
      <c r="AA81" s="11">
        <f>AA79+AA80</f>
        <v>1.01301</v>
      </c>
      <c r="AB81" s="11">
        <f>AC81/AA81</f>
        <v>42355.20034353067</v>
      </c>
      <c r="AC81" s="11">
        <f>AC79+AC80</f>
        <v>42906.241500000004</v>
      </c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6"/>
      <c r="AZ81" s="46"/>
      <c r="BA81" s="45"/>
      <c r="BB81" s="46"/>
      <c r="BC81" s="46"/>
      <c r="BD81" s="45"/>
      <c r="BE81" s="46"/>
      <c r="BF81" s="46"/>
      <c r="BG81" s="45"/>
      <c r="BH81" s="29"/>
    </row>
    <row r="82" spans="1:60" ht="15">
      <c r="A82" s="21" t="s">
        <v>36</v>
      </c>
      <c r="B82" s="71" t="s">
        <v>66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  <c r="AB82" s="15"/>
      <c r="AC82" s="54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12"/>
      <c r="AT82" s="12"/>
      <c r="AU82" s="12"/>
      <c r="AV82" s="12"/>
      <c r="AW82" s="12"/>
      <c r="AX82" s="12"/>
      <c r="AY82" s="29"/>
      <c r="AZ82" s="29"/>
      <c r="BA82" s="29"/>
      <c r="BB82" s="29"/>
      <c r="BC82" s="29"/>
      <c r="BD82" s="29"/>
      <c r="BE82" s="29"/>
      <c r="BF82" s="29"/>
      <c r="BG82" s="29"/>
      <c r="BH82" s="29"/>
    </row>
    <row r="83" spans="1:60" ht="14.25">
      <c r="A83" s="4" t="s">
        <v>1</v>
      </c>
      <c r="B83" s="4" t="s">
        <v>11</v>
      </c>
      <c r="C83" s="63">
        <f>C79</f>
        <v>0</v>
      </c>
      <c r="D83" s="64"/>
      <c r="E83" s="64">
        <f>E87-E79</f>
        <v>0</v>
      </c>
      <c r="F83" s="63">
        <f>F79</f>
        <v>0</v>
      </c>
      <c r="G83" s="64"/>
      <c r="H83" s="64">
        <f>H87-H79</f>
        <v>0</v>
      </c>
      <c r="I83" s="63">
        <f>I79</f>
        <v>3.441956</v>
      </c>
      <c r="J83" s="64">
        <f>K83/I83</f>
        <v>5351.437238012337</v>
      </c>
      <c r="K83" s="64">
        <f>K87-K79</f>
        <v>18419.41150999999</v>
      </c>
      <c r="L83" s="36">
        <f>L79</f>
        <v>5.681804</v>
      </c>
      <c r="M83" s="31">
        <f>N83/L83</f>
        <v>5313.402865387967</v>
      </c>
      <c r="N83" s="31">
        <f>N87-N79</f>
        <v>30189.71365417281</v>
      </c>
      <c r="O83" s="36">
        <f>O79</f>
        <v>6.803206</v>
      </c>
      <c r="P83" s="31">
        <f>Q83/O83</f>
        <v>3244.3654750167993</v>
      </c>
      <c r="Q83" s="31">
        <v>22072.08666582714</v>
      </c>
      <c r="R83" s="36">
        <f>R79</f>
        <v>3.368911</v>
      </c>
      <c r="S83" s="31">
        <f>T83/R83</f>
        <v>2225.750698367472</v>
      </c>
      <c r="T83" s="31">
        <f>T87-T79</f>
        <v>7498.35601098786</v>
      </c>
      <c r="U83" s="36">
        <f>U79</f>
        <v>1.15</v>
      </c>
      <c r="V83" s="31">
        <v>2368.051135218586</v>
      </c>
      <c r="W83" s="31">
        <f>U83*V83</f>
        <v>2723.2588055013734</v>
      </c>
      <c r="X83" s="36">
        <f>X79</f>
        <v>8.8083</v>
      </c>
      <c r="Y83" s="31">
        <v>2887.7355376253327</v>
      </c>
      <c r="Z83" s="31">
        <f>X83*Y83</f>
        <v>25436.040936065216</v>
      </c>
      <c r="AA83" s="36">
        <f>AA79</f>
        <v>1.01301</v>
      </c>
      <c r="AB83" s="31">
        <v>3138.4354547339317</v>
      </c>
      <c r="AC83" s="31">
        <f>AA83*AB83</f>
        <v>3179.26650000002</v>
      </c>
      <c r="AD83" s="44"/>
      <c r="AE83" s="43"/>
      <c r="AF83" s="43"/>
      <c r="AG83" s="44"/>
      <c r="AH83" s="43"/>
      <c r="AI83" s="43"/>
      <c r="AJ83" s="44"/>
      <c r="AK83" s="43"/>
      <c r="AL83" s="43"/>
      <c r="AM83" s="44"/>
      <c r="AN83" s="43"/>
      <c r="AO83" s="43"/>
      <c r="AP83" s="44"/>
      <c r="AQ83" s="44"/>
      <c r="AR83" s="43"/>
      <c r="AS83" s="44"/>
      <c r="AT83" s="43"/>
      <c r="AU83" s="43"/>
      <c r="AV83" s="44"/>
      <c r="AW83" s="43"/>
      <c r="AX83" s="43"/>
      <c r="AY83" s="29"/>
      <c r="AZ83" s="29"/>
      <c r="BA83" s="29"/>
      <c r="BB83" s="29"/>
      <c r="BC83" s="29"/>
      <c r="BD83" s="29"/>
      <c r="BE83" s="29"/>
      <c r="BF83" s="29"/>
      <c r="BG83" s="29"/>
      <c r="BH83" s="29"/>
    </row>
    <row r="84" spans="1:60" ht="14.25">
      <c r="A84" s="4" t="s">
        <v>2</v>
      </c>
      <c r="B84" s="4" t="s">
        <v>12</v>
      </c>
      <c r="C84" s="4">
        <f>C80</f>
        <v>0</v>
      </c>
      <c r="D84" s="64"/>
      <c r="E84" s="64">
        <f>E88-E80</f>
        <v>0</v>
      </c>
      <c r="F84" s="4">
        <f>F80</f>
        <v>0</v>
      </c>
      <c r="G84" s="4"/>
      <c r="H84" s="64">
        <f>H88-H80</f>
        <v>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32"/>
      <c r="AB84" s="6"/>
      <c r="AC84" s="6"/>
      <c r="AD84" s="47"/>
      <c r="AE84" s="43"/>
      <c r="AF84" s="43"/>
      <c r="AG84" s="47"/>
      <c r="AH84" s="43"/>
      <c r="AI84" s="43"/>
      <c r="AJ84" s="47"/>
      <c r="AK84" s="43"/>
      <c r="AL84" s="43"/>
      <c r="AM84" s="47"/>
      <c r="AN84" s="43"/>
      <c r="AO84" s="43"/>
      <c r="AP84" s="47"/>
      <c r="AQ84" s="47"/>
      <c r="AR84" s="48"/>
      <c r="AS84" s="44"/>
      <c r="AT84" s="43"/>
      <c r="AU84" s="43"/>
      <c r="AV84" s="44"/>
      <c r="AW84" s="43"/>
      <c r="AX84" s="43"/>
      <c r="AY84" s="29"/>
      <c r="AZ84" s="29"/>
      <c r="BA84" s="29"/>
      <c r="BB84" s="29"/>
      <c r="BC84" s="29"/>
      <c r="BD84" s="29"/>
      <c r="BE84" s="29"/>
      <c r="BF84" s="29"/>
      <c r="BG84" s="29"/>
      <c r="BH84" s="29"/>
    </row>
    <row r="85" spans="1:60" ht="15">
      <c r="A85" s="9" t="s">
        <v>3</v>
      </c>
      <c r="B85" s="9" t="s">
        <v>13</v>
      </c>
      <c r="C85" s="11">
        <f>C83+C84</f>
        <v>0</v>
      </c>
      <c r="D85" s="11"/>
      <c r="E85" s="11">
        <f>E83+E84</f>
        <v>0</v>
      </c>
      <c r="F85" s="11">
        <f>F83+F84</f>
        <v>0</v>
      </c>
      <c r="G85" s="11"/>
      <c r="H85" s="11">
        <f>H83+H84</f>
        <v>0</v>
      </c>
      <c r="I85" s="11">
        <f>I83+I84</f>
        <v>3.441956</v>
      </c>
      <c r="J85" s="11">
        <f>K85/I85</f>
        <v>5351.437238012337</v>
      </c>
      <c r="K85" s="11">
        <f>K83+K84</f>
        <v>18419.41150999999</v>
      </c>
      <c r="L85" s="11">
        <f>L83+L84</f>
        <v>5.681804</v>
      </c>
      <c r="M85" s="11">
        <f>N85/L85</f>
        <v>5313.402865387967</v>
      </c>
      <c r="N85" s="11">
        <f>N83+N84</f>
        <v>30189.71365417281</v>
      </c>
      <c r="O85" s="11">
        <f>O83+O84</f>
        <v>6.803206</v>
      </c>
      <c r="P85" s="11">
        <f>Q85/O85</f>
        <v>3244.3654750167993</v>
      </c>
      <c r="Q85" s="11">
        <f>Q83+Q84</f>
        <v>22072.08666582714</v>
      </c>
      <c r="R85" s="11">
        <f>R83+R84</f>
        <v>3.368911</v>
      </c>
      <c r="S85" s="11">
        <f>T85/R85</f>
        <v>2225.750698367472</v>
      </c>
      <c r="T85" s="11">
        <f>T83+T84</f>
        <v>7498.35601098786</v>
      </c>
      <c r="U85" s="11">
        <f>U83+U84</f>
        <v>1.15</v>
      </c>
      <c r="V85" s="11">
        <f>W85/U85</f>
        <v>2368.051135218586</v>
      </c>
      <c r="W85" s="11">
        <f>W83+W84</f>
        <v>2723.2588055013734</v>
      </c>
      <c r="X85" s="11">
        <f>X83+X84</f>
        <v>8.8083</v>
      </c>
      <c r="Y85" s="11">
        <f>Z85/X85</f>
        <v>2887.7355376253327</v>
      </c>
      <c r="Z85" s="11">
        <f>Z83+Z84</f>
        <v>25436.040936065216</v>
      </c>
      <c r="AA85" s="11">
        <f>AA83+AA84</f>
        <v>1.01301</v>
      </c>
      <c r="AB85" s="11">
        <f>AC85/AA85</f>
        <v>3138.4354547339317</v>
      </c>
      <c r="AC85" s="11">
        <f>AC83+AC84</f>
        <v>3179.26650000002</v>
      </c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29"/>
      <c r="AZ85" s="29"/>
      <c r="BA85" s="29"/>
      <c r="BB85" s="29"/>
      <c r="BC85" s="29"/>
      <c r="BD85" s="29"/>
      <c r="BE85" s="29"/>
      <c r="BF85" s="29"/>
      <c r="BG85" s="29"/>
      <c r="BH85" s="29"/>
    </row>
    <row r="86" spans="1:60" s="27" customFormat="1" ht="15">
      <c r="A86" s="68" t="s">
        <v>65</v>
      </c>
      <c r="B86" s="68" t="s">
        <v>64</v>
      </c>
      <c r="C86" s="72"/>
      <c r="D86" s="100"/>
      <c r="E86" s="72"/>
      <c r="F86" s="72"/>
      <c r="G86" s="72"/>
      <c r="H86" s="72"/>
      <c r="I86" s="72"/>
      <c r="J86" s="72"/>
      <c r="K86" s="72"/>
      <c r="L86" s="69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3"/>
      <c r="AB86" s="74"/>
      <c r="AC86" s="77"/>
      <c r="AD86" s="49"/>
      <c r="AE86" s="50"/>
      <c r="AF86" s="50"/>
      <c r="AG86" s="49"/>
      <c r="AH86" s="50"/>
      <c r="AI86" s="50"/>
      <c r="AJ86" s="49"/>
      <c r="AK86" s="50"/>
      <c r="AL86" s="50"/>
      <c r="AM86" s="49"/>
      <c r="AN86" s="50"/>
      <c r="AO86" s="50"/>
      <c r="AP86" s="49"/>
      <c r="AQ86" s="49"/>
      <c r="AR86" s="51"/>
      <c r="AS86" s="52"/>
      <c r="AT86" s="50"/>
      <c r="AU86" s="50"/>
      <c r="AV86" s="52"/>
      <c r="AW86" s="50"/>
      <c r="AX86" s="50"/>
      <c r="AY86" s="38"/>
      <c r="AZ86" s="38"/>
      <c r="BA86" s="38"/>
      <c r="BB86" s="38"/>
      <c r="BC86" s="38"/>
      <c r="BD86" s="38"/>
      <c r="BE86" s="38"/>
      <c r="BF86" s="38"/>
      <c r="BG86" s="38"/>
      <c r="BH86" s="38"/>
    </row>
    <row r="87" spans="1:60" ht="14.25">
      <c r="A87" s="4" t="s">
        <v>1</v>
      </c>
      <c r="B87" s="4" t="s">
        <v>11</v>
      </c>
      <c r="C87" s="101">
        <f>C79</f>
        <v>0</v>
      </c>
      <c r="D87" s="64"/>
      <c r="E87" s="64">
        <v>0</v>
      </c>
      <c r="F87" s="101">
        <f>F79</f>
        <v>0</v>
      </c>
      <c r="G87" s="64"/>
      <c r="H87" s="64">
        <v>0</v>
      </c>
      <c r="I87" s="101">
        <f>I79</f>
        <v>3.441956</v>
      </c>
      <c r="J87" s="64">
        <f>K87/I87</f>
        <v>43051.523857364824</v>
      </c>
      <c r="K87" s="64">
        <v>148181.45085</v>
      </c>
      <c r="L87" s="37">
        <f>L79</f>
        <v>5.681804</v>
      </c>
      <c r="M87" s="31">
        <f>N87/L87</f>
        <v>36645.35027431429</v>
      </c>
      <c r="N87" s="31">
        <f>200662.39902+7549.29875</f>
        <v>208211.69777</v>
      </c>
      <c r="O87" s="37">
        <f>O79</f>
        <v>6.803206</v>
      </c>
      <c r="P87" s="31">
        <f>Q87/O87</f>
        <v>37531.99037042241</v>
      </c>
      <c r="Q87" s="31">
        <f>Q79+Q83</f>
        <v>255337.86208</v>
      </c>
      <c r="R87" s="37">
        <f>R79</f>
        <v>3.368911</v>
      </c>
      <c r="S87" s="31">
        <f>T87/R87</f>
        <v>30263.19638898148</v>
      </c>
      <c r="T87" s="31">
        <v>101954.01521</v>
      </c>
      <c r="U87" s="37">
        <f>U79</f>
        <v>1.15</v>
      </c>
      <c r="V87" s="31">
        <f>W87/U87</f>
        <v>32616.841173913002</v>
      </c>
      <c r="W87" s="31">
        <f>W79+W83</f>
        <v>37509.36734999995</v>
      </c>
      <c r="X87" s="37">
        <f>X79</f>
        <v>8.8083</v>
      </c>
      <c r="Y87" s="31">
        <f>Z87/X87</f>
        <v>41308.50768933849</v>
      </c>
      <c r="Z87" s="31">
        <f>Z79+Z83</f>
        <v>363857.7282800002</v>
      </c>
      <c r="AA87" s="37">
        <f>AA79</f>
        <v>1.01301</v>
      </c>
      <c r="AB87" s="31">
        <f>AC87/AA87</f>
        <v>45493.6357982646</v>
      </c>
      <c r="AC87" s="31">
        <f>AC79+AC83</f>
        <v>46085.50800000002</v>
      </c>
      <c r="AD87" s="42"/>
      <c r="AE87" s="43"/>
      <c r="AF87" s="43"/>
      <c r="AG87" s="42"/>
      <c r="AH87" s="43"/>
      <c r="AI87" s="43"/>
      <c r="AJ87" s="42"/>
      <c r="AK87" s="43"/>
      <c r="AL87" s="43"/>
      <c r="AM87" s="42"/>
      <c r="AN87" s="43"/>
      <c r="AO87" s="43"/>
      <c r="AP87" s="42"/>
      <c r="AQ87" s="43"/>
      <c r="AR87" s="43"/>
      <c r="AS87" s="42"/>
      <c r="AT87" s="43"/>
      <c r="AU87" s="43"/>
      <c r="AV87" s="42"/>
      <c r="AW87" s="43"/>
      <c r="AX87" s="43"/>
      <c r="AY87" s="44"/>
      <c r="AZ87" s="44"/>
      <c r="BA87" s="43"/>
      <c r="BB87" s="44"/>
      <c r="BC87" s="44"/>
      <c r="BD87" s="43"/>
      <c r="BE87" s="44"/>
      <c r="BF87" s="44"/>
      <c r="BG87" s="43"/>
      <c r="BH87" s="29"/>
    </row>
    <row r="88" spans="1:60" ht="14.25">
      <c r="A88" s="4" t="s">
        <v>2</v>
      </c>
      <c r="B88" s="4" t="s">
        <v>12</v>
      </c>
      <c r="C88" s="101">
        <f>C80</f>
        <v>0</v>
      </c>
      <c r="D88" s="64"/>
      <c r="E88" s="4">
        <v>0</v>
      </c>
      <c r="F88" s="101">
        <f>F80</f>
        <v>0</v>
      </c>
      <c r="G88" s="4"/>
      <c r="H88" s="4"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8"/>
      <c r="AB88" s="6"/>
      <c r="AC88" s="6"/>
      <c r="AD88" s="42"/>
      <c r="AE88" s="43"/>
      <c r="AF88" s="43"/>
      <c r="AG88" s="42"/>
      <c r="AH88" s="43"/>
      <c r="AI88" s="43"/>
      <c r="AJ88" s="42"/>
      <c r="AK88" s="43"/>
      <c r="AL88" s="43"/>
      <c r="AM88" s="44"/>
      <c r="AN88" s="43"/>
      <c r="AO88" s="43"/>
      <c r="AP88" s="44"/>
      <c r="AQ88" s="43"/>
      <c r="AR88" s="43"/>
      <c r="AS88" s="44"/>
      <c r="AT88" s="43"/>
      <c r="AU88" s="43"/>
      <c r="AV88" s="44"/>
      <c r="AW88" s="43"/>
      <c r="AX88" s="43"/>
      <c r="AY88" s="44"/>
      <c r="AZ88" s="44"/>
      <c r="BA88" s="43"/>
      <c r="BB88" s="43"/>
      <c r="BC88" s="44"/>
      <c r="BD88" s="43"/>
      <c r="BE88" s="43"/>
      <c r="BF88" s="44"/>
      <c r="BG88" s="43"/>
      <c r="BH88" s="29"/>
    </row>
    <row r="89" spans="1:60" ht="15">
      <c r="A89" s="9" t="s">
        <v>3</v>
      </c>
      <c r="B89" s="9" t="s">
        <v>13</v>
      </c>
      <c r="C89" s="11">
        <f>C85</f>
        <v>0</v>
      </c>
      <c r="D89" s="11"/>
      <c r="E89" s="11">
        <f>E81+E85</f>
        <v>0</v>
      </c>
      <c r="F89" s="11">
        <f>F85</f>
        <v>0</v>
      </c>
      <c r="G89" s="11"/>
      <c r="H89" s="11">
        <f>H81+H85</f>
        <v>0</v>
      </c>
      <c r="I89" s="11">
        <f>I85</f>
        <v>3.441956</v>
      </c>
      <c r="J89" s="11">
        <f>J81+J85</f>
        <v>43051.523857364824</v>
      </c>
      <c r="K89" s="11">
        <f>K81+K85</f>
        <v>148181.45085</v>
      </c>
      <c r="L89" s="11">
        <f>L85</f>
        <v>5.681804</v>
      </c>
      <c r="M89" s="11">
        <f>M81+M85</f>
        <v>36645.35027431429</v>
      </c>
      <c r="N89" s="11">
        <f>N81+N85</f>
        <v>208211.69777</v>
      </c>
      <c r="O89" s="11">
        <f>O85</f>
        <v>6.803206</v>
      </c>
      <c r="P89" s="11">
        <f>P81+P85</f>
        <v>37531.99037042241</v>
      </c>
      <c r="Q89" s="11">
        <f>Q81+Q85</f>
        <v>255337.86208</v>
      </c>
      <c r="R89" s="11">
        <f>R85</f>
        <v>3.368911</v>
      </c>
      <c r="S89" s="11">
        <f>S81+S85</f>
        <v>30263.19638898148</v>
      </c>
      <c r="T89" s="11">
        <f>T81+T85</f>
        <v>101954.01521</v>
      </c>
      <c r="U89" s="11">
        <f>U85</f>
        <v>1.15</v>
      </c>
      <c r="V89" s="11">
        <f>V81+V85</f>
        <v>32616.841173913</v>
      </c>
      <c r="W89" s="11">
        <f>W81+W85</f>
        <v>37509.36734999995</v>
      </c>
      <c r="X89" s="11">
        <f>X85</f>
        <v>8.8083</v>
      </c>
      <c r="Y89" s="11">
        <f>Y81+Y85</f>
        <v>41308.5076893385</v>
      </c>
      <c r="Z89" s="11">
        <f>Z81+Z85</f>
        <v>363857.7282800002</v>
      </c>
      <c r="AA89" s="11">
        <f>AA85</f>
        <v>1.01301</v>
      </c>
      <c r="AB89" s="11">
        <f>AB81+AB85</f>
        <v>45493.6357982646</v>
      </c>
      <c r="AC89" s="11">
        <f>AC81+AC85</f>
        <v>46085.50800000002</v>
      </c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6"/>
      <c r="AZ89" s="46"/>
      <c r="BA89" s="45"/>
      <c r="BB89" s="46"/>
      <c r="BC89" s="46"/>
      <c r="BD89" s="45"/>
      <c r="BE89" s="46"/>
      <c r="BF89" s="46"/>
      <c r="BG89" s="45"/>
      <c r="BH89" s="29"/>
    </row>
    <row r="90" spans="1:59" s="29" customFormat="1" ht="14.25">
      <c r="A90" s="30" t="s">
        <v>30</v>
      </c>
      <c r="B90" s="30" t="s">
        <v>33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2"/>
      <c r="AB90" s="6"/>
      <c r="AC90" s="6"/>
      <c r="AD90" s="47"/>
      <c r="AE90" s="43"/>
      <c r="AF90" s="43"/>
      <c r="AG90" s="47"/>
      <c r="AH90" s="43"/>
      <c r="AI90" s="43"/>
      <c r="AJ90" s="47"/>
      <c r="AK90" s="43"/>
      <c r="AL90" s="43"/>
      <c r="AM90" s="47"/>
      <c r="AN90" s="43"/>
      <c r="AO90" s="43"/>
      <c r="AP90" s="47"/>
      <c r="AQ90" s="43"/>
      <c r="AR90" s="48"/>
      <c r="AS90" s="53"/>
      <c r="AT90" s="43"/>
      <c r="AU90" s="53"/>
      <c r="AV90" s="53"/>
      <c r="AW90" s="43"/>
      <c r="AX90" s="53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1:60" ht="15">
      <c r="A91" s="9" t="s">
        <v>31</v>
      </c>
      <c r="B91" s="9" t="s">
        <v>32</v>
      </c>
      <c r="C91" s="11">
        <f>C85+C90</f>
        <v>0</v>
      </c>
      <c r="D91" s="11"/>
      <c r="E91" s="11">
        <f>E85+E90+E81</f>
        <v>0</v>
      </c>
      <c r="F91" s="11">
        <f>F85+F90</f>
        <v>0</v>
      </c>
      <c r="G91" s="11"/>
      <c r="H91" s="11">
        <f>H85+H90+H81</f>
        <v>0</v>
      </c>
      <c r="I91" s="11">
        <f>I85+I90</f>
        <v>3.441956</v>
      </c>
      <c r="J91" s="11">
        <f>K91/I91</f>
        <v>43051.523857364824</v>
      </c>
      <c r="K91" s="11">
        <f>K85+K90+K81</f>
        <v>148181.45085</v>
      </c>
      <c r="L91" s="11">
        <f>L85+L90</f>
        <v>5.681804</v>
      </c>
      <c r="M91" s="11">
        <f>N91/L91</f>
        <v>36645.35027431429</v>
      </c>
      <c r="N91" s="11">
        <f>N85+N90+N81</f>
        <v>208211.69777</v>
      </c>
      <c r="O91" s="11">
        <f>O85+O90</f>
        <v>6.803206</v>
      </c>
      <c r="P91" s="11">
        <f>Q91/O91</f>
        <v>37531.99037042241</v>
      </c>
      <c r="Q91" s="11">
        <f>Q85+Q90+Q81</f>
        <v>255337.86208</v>
      </c>
      <c r="R91" s="11">
        <f>R85+R90</f>
        <v>3.368911</v>
      </c>
      <c r="S91" s="11">
        <f>T91/R91</f>
        <v>30263.19638898148</v>
      </c>
      <c r="T91" s="11">
        <f>T85+T90+T81</f>
        <v>101954.01521</v>
      </c>
      <c r="U91" s="11">
        <f>U85+U90</f>
        <v>1.15</v>
      </c>
      <c r="V91" s="11">
        <f>W91/U91</f>
        <v>32616.841173913002</v>
      </c>
      <c r="W91" s="11">
        <f>W85+W90+W81</f>
        <v>37509.36734999995</v>
      </c>
      <c r="X91" s="11">
        <f>X85+X90</f>
        <v>8.8083</v>
      </c>
      <c r="Y91" s="11">
        <f>Z91/X91</f>
        <v>41308.50768933849</v>
      </c>
      <c r="Z91" s="11">
        <f>Z85+Z90+Z81</f>
        <v>363857.7282800002</v>
      </c>
      <c r="AA91" s="11">
        <f>AA85+AA90</f>
        <v>1.01301</v>
      </c>
      <c r="AB91" s="11">
        <f>AC91/AA91</f>
        <v>45493.6357982646</v>
      </c>
      <c r="AC91" s="11">
        <f>AC85+AC90+AC81</f>
        <v>46085.50800000002</v>
      </c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12"/>
      <c r="AZ91" s="12"/>
      <c r="BA91" s="12"/>
      <c r="BB91" s="12"/>
      <c r="BC91" s="12"/>
      <c r="BD91" s="12"/>
      <c r="BE91" s="12"/>
      <c r="BF91" s="12"/>
      <c r="BG91" s="12"/>
      <c r="BH91" s="29"/>
    </row>
    <row r="92" spans="30:60" ht="14.25"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</row>
    <row r="95" spans="1:59" ht="15.75">
      <c r="A95" s="20" t="s">
        <v>56</v>
      </c>
      <c r="B95" s="20" t="s">
        <v>57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s="27" customFormat="1" ht="15">
      <c r="A96" s="28"/>
      <c r="B96" s="28"/>
      <c r="C96" s="136">
        <f>C76</f>
        <v>2023</v>
      </c>
      <c r="D96" s="136"/>
      <c r="E96" s="136"/>
      <c r="F96" s="136">
        <f>F76</f>
        <v>2022</v>
      </c>
      <c r="G96" s="136"/>
      <c r="H96" s="136"/>
      <c r="I96" s="136">
        <f>I76</f>
        <v>2021</v>
      </c>
      <c r="J96" s="136"/>
      <c r="K96" s="136"/>
      <c r="L96" s="136">
        <f>L76</f>
        <v>2020</v>
      </c>
      <c r="M96" s="136"/>
      <c r="N96" s="136"/>
      <c r="O96" s="136">
        <f>O76</f>
        <v>2019</v>
      </c>
      <c r="P96" s="136"/>
      <c r="Q96" s="136"/>
      <c r="R96" s="136">
        <f>R76</f>
        <v>2018</v>
      </c>
      <c r="S96" s="136"/>
      <c r="T96" s="136"/>
      <c r="U96" s="136">
        <f>U76</f>
        <v>2017</v>
      </c>
      <c r="V96" s="136"/>
      <c r="W96" s="136"/>
      <c r="X96" s="136">
        <f>X76</f>
        <v>2016</v>
      </c>
      <c r="Y96" s="136"/>
      <c r="Z96" s="136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 s="24" customFormat="1" ht="33.75" customHeight="1">
      <c r="A97" s="22"/>
      <c r="B97" s="22"/>
      <c r="C97" s="22" t="s">
        <v>24</v>
      </c>
      <c r="D97" s="22" t="s">
        <v>25</v>
      </c>
      <c r="E97" s="22" t="s">
        <v>26</v>
      </c>
      <c r="F97" s="22" t="s">
        <v>24</v>
      </c>
      <c r="G97" s="22" t="s">
        <v>25</v>
      </c>
      <c r="H97" s="22" t="s">
        <v>26</v>
      </c>
      <c r="I97" s="22" t="s">
        <v>24</v>
      </c>
      <c r="J97" s="22" t="s">
        <v>25</v>
      </c>
      <c r="K97" s="22" t="s">
        <v>26</v>
      </c>
      <c r="L97" s="22" t="s">
        <v>24</v>
      </c>
      <c r="M97" s="22" t="s">
        <v>25</v>
      </c>
      <c r="N97" s="22" t="s">
        <v>26</v>
      </c>
      <c r="O97" s="22" t="s">
        <v>24</v>
      </c>
      <c r="P97" s="22" t="s">
        <v>25</v>
      </c>
      <c r="Q97" s="22" t="s">
        <v>26</v>
      </c>
      <c r="R97" s="22" t="s">
        <v>24</v>
      </c>
      <c r="S97" s="22" t="s">
        <v>25</v>
      </c>
      <c r="T97" s="22" t="s">
        <v>26</v>
      </c>
      <c r="U97" s="22" t="s">
        <v>24</v>
      </c>
      <c r="V97" s="22" t="s">
        <v>25</v>
      </c>
      <c r="W97" s="22" t="s">
        <v>26</v>
      </c>
      <c r="X97" s="22" t="s">
        <v>24</v>
      </c>
      <c r="Y97" s="22" t="s">
        <v>25</v>
      </c>
      <c r="Z97" s="22" t="s">
        <v>26</v>
      </c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</row>
    <row r="98" spans="1:59" s="24" customFormat="1" ht="28.5">
      <c r="A98" s="22"/>
      <c r="B98" s="22"/>
      <c r="C98" s="22" t="s">
        <v>18</v>
      </c>
      <c r="D98" s="22" t="s">
        <v>19</v>
      </c>
      <c r="E98" s="22" t="s">
        <v>17</v>
      </c>
      <c r="F98" s="22" t="s">
        <v>18</v>
      </c>
      <c r="G98" s="22" t="s">
        <v>19</v>
      </c>
      <c r="H98" s="22" t="s">
        <v>17</v>
      </c>
      <c r="I98" s="22" t="s">
        <v>18</v>
      </c>
      <c r="J98" s="22" t="s">
        <v>19</v>
      </c>
      <c r="K98" s="22" t="s">
        <v>17</v>
      </c>
      <c r="L98" s="22" t="s">
        <v>18</v>
      </c>
      <c r="M98" s="22" t="s">
        <v>19</v>
      </c>
      <c r="N98" s="22" t="s">
        <v>17</v>
      </c>
      <c r="O98" s="22" t="s">
        <v>18</v>
      </c>
      <c r="P98" s="22" t="s">
        <v>19</v>
      </c>
      <c r="Q98" s="22" t="s">
        <v>17</v>
      </c>
      <c r="R98" s="22" t="s">
        <v>18</v>
      </c>
      <c r="S98" s="22" t="s">
        <v>19</v>
      </c>
      <c r="T98" s="22" t="s">
        <v>17</v>
      </c>
      <c r="U98" s="22" t="s">
        <v>18</v>
      </c>
      <c r="V98" s="22" t="s">
        <v>19</v>
      </c>
      <c r="W98" s="22" t="s">
        <v>17</v>
      </c>
      <c r="X98" s="22" t="s">
        <v>18</v>
      </c>
      <c r="Y98" s="22" t="s">
        <v>19</v>
      </c>
      <c r="Z98" s="22" t="s">
        <v>17</v>
      </c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</row>
    <row r="99" spans="1:59" ht="14.25">
      <c r="A99" s="4" t="s">
        <v>1</v>
      </c>
      <c r="B99" s="4" t="s">
        <v>11</v>
      </c>
      <c r="C99" s="63">
        <v>69.8868</v>
      </c>
      <c r="D99" s="64">
        <f>E99/C99</f>
        <v>22459.7837245374</v>
      </c>
      <c r="E99" s="64">
        <v>1569642.4132</v>
      </c>
      <c r="F99" s="63">
        <v>90.80749999999999</v>
      </c>
      <c r="G99" s="64">
        <f>H99/F99</f>
        <v>25500.37161891342</v>
      </c>
      <c r="H99" s="64">
        <v>2315624.99578448</v>
      </c>
      <c r="I99" s="63">
        <v>23.92091</v>
      </c>
      <c r="J99" s="64">
        <f>K99/I99</f>
        <v>41650.87174646695</v>
      </c>
      <c r="K99" s="64">
        <v>996326.7544687788</v>
      </c>
      <c r="L99" s="36">
        <v>12.41921</v>
      </c>
      <c r="M99" s="31">
        <f>N99/L99</f>
        <v>12743.628368471102</v>
      </c>
      <c r="N99" s="31">
        <v>158265.79687</v>
      </c>
      <c r="O99" s="36">
        <v>0</v>
      </c>
      <c r="P99" s="31"/>
      <c r="Q99" s="31">
        <v>0</v>
      </c>
      <c r="R99" s="36">
        <v>0</v>
      </c>
      <c r="S99" s="31"/>
      <c r="T99" s="31">
        <v>0</v>
      </c>
      <c r="U99" s="36">
        <v>0</v>
      </c>
      <c r="V99" s="31"/>
      <c r="W99" s="31">
        <v>0</v>
      </c>
      <c r="X99" s="36">
        <v>0</v>
      </c>
      <c r="Y99" s="31"/>
      <c r="Z99" s="31">
        <v>0</v>
      </c>
      <c r="AA99" s="44"/>
      <c r="AB99" s="43"/>
      <c r="AC99" s="43"/>
      <c r="AD99" s="44"/>
      <c r="AE99" s="43"/>
      <c r="AF99" s="43"/>
      <c r="AG99" s="44"/>
      <c r="AH99" s="43"/>
      <c r="AI99" s="43"/>
      <c r="AJ99" s="44"/>
      <c r="AK99" s="43"/>
      <c r="AL99" s="43"/>
      <c r="AM99" s="44"/>
      <c r="AN99" s="43"/>
      <c r="AO99" s="43"/>
      <c r="AP99" s="44"/>
      <c r="AQ99" s="43"/>
      <c r="AR99" s="43"/>
      <c r="AS99" s="43"/>
      <c r="AT99" s="43"/>
      <c r="AU99" s="43"/>
      <c r="AV99" s="43"/>
      <c r="AW99" s="43"/>
      <c r="AX99" s="43"/>
      <c r="AY99" s="44"/>
      <c r="AZ99" s="44"/>
      <c r="BA99" s="43"/>
      <c r="BB99" s="44"/>
      <c r="BC99" s="44"/>
      <c r="BD99" s="43"/>
      <c r="BE99" s="44"/>
      <c r="BF99" s="44"/>
      <c r="BG99" s="43"/>
    </row>
    <row r="100" spans="1:59" ht="14.25">
      <c r="A100" s="4" t="s">
        <v>2</v>
      </c>
      <c r="B100" s="4" t="s">
        <v>12</v>
      </c>
      <c r="C100" s="36">
        <v>26.542210000000004</v>
      </c>
      <c r="D100" s="31">
        <v>22821.68722079284</v>
      </c>
      <c r="E100" s="31">
        <v>605738.0147686</v>
      </c>
      <c r="F100" s="63">
        <v>94.62887</v>
      </c>
      <c r="G100" s="64">
        <f>H100/F100</f>
        <v>33606.17499470616</v>
      </c>
      <c r="H100" s="64">
        <v>3180114.3647713</v>
      </c>
      <c r="I100" s="63">
        <v>41.407830000000004</v>
      </c>
      <c r="J100" s="64">
        <f>K100/I100</f>
        <v>34702.27367502474</v>
      </c>
      <c r="K100" s="64">
        <f>1525068.75052-K104</f>
        <v>1436945.8489489</v>
      </c>
      <c r="L100" s="36">
        <v>30.83974</v>
      </c>
      <c r="M100" s="31">
        <f>N100/L100</f>
        <v>12614.180000000002</v>
      </c>
      <c r="N100" s="31">
        <v>389018.0315132</v>
      </c>
      <c r="O100" s="36">
        <v>92.64417</v>
      </c>
      <c r="P100" s="31">
        <v>15002.99</v>
      </c>
      <c r="Q100" s="31">
        <f>P100*O100</f>
        <v>1389939.5560683</v>
      </c>
      <c r="R100" s="63">
        <v>87.45055</v>
      </c>
      <c r="S100" s="64">
        <f>T100/R100</f>
        <v>15869.11</v>
      </c>
      <c r="T100" s="31">
        <v>1387762.3975105002</v>
      </c>
      <c r="U100" s="63">
        <v>89.26873</v>
      </c>
      <c r="V100" s="64">
        <f>W100/U100</f>
        <v>13399.059999957432</v>
      </c>
      <c r="W100" s="31">
        <v>1196117.06939</v>
      </c>
      <c r="X100" s="63">
        <v>22.3251</v>
      </c>
      <c r="Y100" s="64">
        <f>Z100/X100</f>
        <v>11677.15</v>
      </c>
      <c r="Z100" s="31">
        <v>260693.541465</v>
      </c>
      <c r="AA100" s="44"/>
      <c r="AB100" s="43"/>
      <c r="AC100" s="43"/>
      <c r="AD100" s="44"/>
      <c r="AE100" s="43"/>
      <c r="AF100" s="43"/>
      <c r="AG100" s="44"/>
      <c r="AH100" s="43"/>
      <c r="AI100" s="43"/>
      <c r="AJ100" s="44"/>
      <c r="AK100" s="43"/>
      <c r="AL100" s="43"/>
      <c r="AM100" s="44"/>
      <c r="AN100" s="43"/>
      <c r="AO100" s="43"/>
      <c r="AP100" s="44"/>
      <c r="AQ100" s="43"/>
      <c r="AR100" s="43"/>
      <c r="AS100" s="44"/>
      <c r="AT100" s="43"/>
      <c r="AU100" s="43"/>
      <c r="AV100" s="44"/>
      <c r="AW100" s="43"/>
      <c r="AX100" s="43"/>
      <c r="AY100" s="44"/>
      <c r="AZ100" s="44"/>
      <c r="BA100" s="43"/>
      <c r="BB100" s="43"/>
      <c r="BC100" s="44"/>
      <c r="BD100" s="43"/>
      <c r="BE100" s="44"/>
      <c r="BF100" s="44"/>
      <c r="BG100" s="43"/>
    </row>
    <row r="101" spans="1:59" ht="15">
      <c r="A101" s="9" t="s">
        <v>3</v>
      </c>
      <c r="B101" s="9" t="s">
        <v>13</v>
      </c>
      <c r="C101" s="11">
        <f>C99+C100</f>
        <v>96.42901</v>
      </c>
      <c r="D101" s="11">
        <f>E101/C101</f>
        <v>22559.39813100435</v>
      </c>
      <c r="E101" s="11">
        <f>E99+E100</f>
        <v>2175380.4279686</v>
      </c>
      <c r="F101" s="11">
        <f>F99+F100</f>
        <v>185.43637</v>
      </c>
      <c r="G101" s="11">
        <f>H101/F101</f>
        <v>29636.793259897073</v>
      </c>
      <c r="H101" s="11">
        <f>H99+H100</f>
        <v>5495739.36055578</v>
      </c>
      <c r="I101" s="11">
        <f>I99+I100</f>
        <v>65.32874000000001</v>
      </c>
      <c r="J101" s="11">
        <f>K101/I101</f>
        <v>37246.58708277059</v>
      </c>
      <c r="K101" s="11">
        <f>K99+K100</f>
        <v>2433272.6034176787</v>
      </c>
      <c r="L101" s="11">
        <f>L99+L100</f>
        <v>43.25895</v>
      </c>
      <c r="M101" s="11">
        <f>N101/L101</f>
        <v>12651.343326252718</v>
      </c>
      <c r="N101" s="11">
        <f>N99+N100</f>
        <v>547283.8283832</v>
      </c>
      <c r="O101" s="11">
        <f>O99+O100</f>
        <v>92.64417</v>
      </c>
      <c r="P101" s="11">
        <f>Q101/O101</f>
        <v>15002.99</v>
      </c>
      <c r="Q101" s="11">
        <f>Q99+Q100</f>
        <v>1389939.5560683</v>
      </c>
      <c r="R101" s="11">
        <f>R99+R100</f>
        <v>87.45055</v>
      </c>
      <c r="S101" s="11">
        <f>T101/R101</f>
        <v>15869.11</v>
      </c>
      <c r="T101" s="11">
        <f>T99+T100</f>
        <v>1387762.3975105002</v>
      </c>
      <c r="U101" s="11">
        <f>U99+U100</f>
        <v>89.26873</v>
      </c>
      <c r="V101" s="11">
        <f>W101/U101</f>
        <v>13399.059999957432</v>
      </c>
      <c r="W101" s="11">
        <f>W99+W100</f>
        <v>1196117.06939</v>
      </c>
      <c r="X101" s="11">
        <f>X99+X100</f>
        <v>22.3251</v>
      </c>
      <c r="Y101" s="11">
        <f>Z101/X101</f>
        <v>11677.15</v>
      </c>
      <c r="Z101" s="11">
        <f>Z99+Z100</f>
        <v>260693.541465</v>
      </c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6"/>
      <c r="AZ101" s="46"/>
      <c r="BA101" s="45"/>
      <c r="BB101" s="46"/>
      <c r="BC101" s="46"/>
      <c r="BD101" s="45"/>
      <c r="BE101" s="46"/>
      <c r="BF101" s="46"/>
      <c r="BG101" s="45"/>
    </row>
    <row r="102" spans="1:59" ht="15">
      <c r="A102" s="21" t="s">
        <v>36</v>
      </c>
      <c r="B102" s="71" t="s">
        <v>67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67"/>
      <c r="O102" s="14"/>
      <c r="P102" s="14"/>
      <c r="Q102" s="67"/>
      <c r="R102" s="14"/>
      <c r="S102" s="14"/>
      <c r="T102" s="67"/>
      <c r="U102" s="14"/>
      <c r="V102" s="14"/>
      <c r="W102" s="67"/>
      <c r="X102" s="14"/>
      <c r="Y102" s="14"/>
      <c r="Z102" s="67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1:59" ht="14.25">
      <c r="A103" s="4" t="s">
        <v>1</v>
      </c>
      <c r="B103" s="4" t="s">
        <v>11</v>
      </c>
      <c r="C103" s="63">
        <f>C99</f>
        <v>69.8868</v>
      </c>
      <c r="D103" s="64">
        <f>E103/C103</f>
        <v>129.74240586205278</v>
      </c>
      <c r="E103" s="64">
        <f>E107-E99</f>
        <v>9067.281570000108</v>
      </c>
      <c r="F103" s="63">
        <f>F99</f>
        <v>90.80749999999999</v>
      </c>
      <c r="G103" s="64">
        <f>H103/F103</f>
        <v>780.1223728824191</v>
      </c>
      <c r="H103" s="64">
        <f>H107-H99</f>
        <v>70840.96237552026</v>
      </c>
      <c r="I103" s="63">
        <f>I99</f>
        <v>23.92091</v>
      </c>
      <c r="J103" s="64">
        <f>K103/I103</f>
        <v>2070.9183731397015</v>
      </c>
      <c r="K103" s="64">
        <f>K107-K99</f>
        <v>49538.25202122121</v>
      </c>
      <c r="L103" s="36">
        <f>L99</f>
        <v>12.41921</v>
      </c>
      <c r="M103" s="31">
        <f>N103/L103</f>
        <v>2806.0418682025675</v>
      </c>
      <c r="N103" s="31">
        <f>N107-N99</f>
        <v>34848.82323000001</v>
      </c>
      <c r="O103" s="36"/>
      <c r="P103" s="31"/>
      <c r="Q103" s="31"/>
      <c r="R103" s="36"/>
      <c r="S103" s="31"/>
      <c r="T103" s="31"/>
      <c r="U103" s="36"/>
      <c r="V103" s="31"/>
      <c r="W103" s="31"/>
      <c r="X103" s="36"/>
      <c r="Y103" s="31"/>
      <c r="Z103" s="31"/>
      <c r="AA103" s="44"/>
      <c r="AB103" s="43"/>
      <c r="AC103" s="43"/>
      <c r="AD103" s="44"/>
      <c r="AE103" s="44"/>
      <c r="AF103" s="43"/>
      <c r="AG103" s="44"/>
      <c r="AH103" s="44"/>
      <c r="AI103" s="43"/>
      <c r="AJ103" s="44"/>
      <c r="AK103" s="44"/>
      <c r="AL103" s="43"/>
      <c r="AM103" s="44"/>
      <c r="AN103" s="44"/>
      <c r="AO103" s="43"/>
      <c r="AP103" s="44"/>
      <c r="AQ103" s="44"/>
      <c r="AR103" s="43"/>
      <c r="AS103" s="44"/>
      <c r="AT103" s="44"/>
      <c r="AU103" s="43"/>
      <c r="AV103" s="44"/>
      <c r="AW103" s="44"/>
      <c r="AX103" s="43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1:59" ht="14.25">
      <c r="A104" s="4" t="s">
        <v>2</v>
      </c>
      <c r="B104" s="4" t="s">
        <v>12</v>
      </c>
      <c r="C104" s="63">
        <f>C100</f>
        <v>26.542210000000004</v>
      </c>
      <c r="D104" s="64">
        <f>E104/C104</f>
        <v>803.3399999999987</v>
      </c>
      <c r="E104" s="64">
        <f>E108-E100</f>
        <v>21322.41898139997</v>
      </c>
      <c r="F104" s="63">
        <f>F100</f>
        <v>94.62887</v>
      </c>
      <c r="G104" s="64">
        <f>H104/F104</f>
        <v>929.0099999999983</v>
      </c>
      <c r="H104" s="64">
        <f>H108-H100</f>
        <v>87911.16651869984</v>
      </c>
      <c r="I104" s="63">
        <f>I100</f>
        <v>41.407830000000004</v>
      </c>
      <c r="J104" s="64">
        <f>K104/I104</f>
        <v>2128.17</v>
      </c>
      <c r="K104" s="64">
        <f>2128.17*I104</f>
        <v>88122.90157110001</v>
      </c>
      <c r="L104" s="36">
        <f>L100</f>
        <v>30.83974</v>
      </c>
      <c r="M104" s="31">
        <f>N104/L104</f>
        <v>3184.7158927669298</v>
      </c>
      <c r="N104" s="31">
        <v>98215.8101068</v>
      </c>
      <c r="O104" s="36">
        <v>92.64417</v>
      </c>
      <c r="P104" s="31">
        <f>Q104/O104</f>
        <v>580.2750317877534</v>
      </c>
      <c r="Q104" s="31">
        <f>1443698.65476-Q100</f>
        <v>53759.09869170003</v>
      </c>
      <c r="R104" s="63">
        <v>87.45055</v>
      </c>
      <c r="S104" s="64">
        <f>T104/R104</f>
        <v>902.9538245271165</v>
      </c>
      <c r="T104" s="31">
        <v>78963.80857949983</v>
      </c>
      <c r="U104" s="63">
        <v>89.26873</v>
      </c>
      <c r="V104" s="64">
        <f>W104/U104</f>
        <v>1462.9354533216726</v>
      </c>
      <c r="W104" s="31">
        <v>130594.38999</v>
      </c>
      <c r="X104" s="63">
        <v>22.3251</v>
      </c>
      <c r="Y104" s="64">
        <f>Z104/X104</f>
        <v>357.3340385933322</v>
      </c>
      <c r="Z104" s="31">
        <v>7977.518145</v>
      </c>
      <c r="AA104" s="44"/>
      <c r="AB104" s="43"/>
      <c r="AC104" s="43"/>
      <c r="AD104" s="44"/>
      <c r="AE104" s="47"/>
      <c r="AF104" s="43"/>
      <c r="AG104" s="47"/>
      <c r="AH104" s="47"/>
      <c r="AI104" s="43"/>
      <c r="AJ104" s="47"/>
      <c r="AK104" s="47"/>
      <c r="AL104" s="43"/>
      <c r="AM104" s="47"/>
      <c r="AN104" s="47"/>
      <c r="AO104" s="43"/>
      <c r="AP104" s="47"/>
      <c r="AQ104" s="47"/>
      <c r="AR104" s="43"/>
      <c r="AS104" s="47"/>
      <c r="AT104" s="47"/>
      <c r="AU104" s="48"/>
      <c r="AV104" s="47"/>
      <c r="AW104" s="47"/>
      <c r="AX104" s="48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1:59" ht="15">
      <c r="A105" s="9" t="s">
        <v>3</v>
      </c>
      <c r="B105" s="9" t="s">
        <v>13</v>
      </c>
      <c r="C105" s="11">
        <f>C103+C104</f>
        <v>96.42901</v>
      </c>
      <c r="D105" s="11">
        <f>E105/C105</f>
        <v>315.151016809154</v>
      </c>
      <c r="E105" s="11">
        <f>E103+E104</f>
        <v>30389.700551400078</v>
      </c>
      <c r="F105" s="11">
        <f>F103+F104</f>
        <v>185.43637</v>
      </c>
      <c r="G105" s="11">
        <f>H105/F105</f>
        <v>856.1002833166983</v>
      </c>
      <c r="H105" s="11">
        <f>H103+H104</f>
        <v>158752.1288942201</v>
      </c>
      <c r="I105" s="11">
        <f>I103+I104</f>
        <v>65.32874000000001</v>
      </c>
      <c r="J105" s="11">
        <f>K105/I105</f>
        <v>2107.2066228787085</v>
      </c>
      <c r="K105" s="11">
        <f>K103+K104</f>
        <v>137661.1535923212</v>
      </c>
      <c r="L105" s="11">
        <f>L103+L104</f>
        <v>43.25895</v>
      </c>
      <c r="M105" s="11">
        <f>N105/L105</f>
        <v>3076.002384172524</v>
      </c>
      <c r="N105" s="11">
        <f>N103+N104</f>
        <v>133064.6333368</v>
      </c>
      <c r="O105" s="11">
        <f>O103+O104</f>
        <v>92.64417</v>
      </c>
      <c r="P105" s="11">
        <f>Q105/O105</f>
        <v>580.2750317877534</v>
      </c>
      <c r="Q105" s="11">
        <f>Q103+Q104</f>
        <v>53759.09869170003</v>
      </c>
      <c r="R105" s="11">
        <f>R103+R104</f>
        <v>87.45055</v>
      </c>
      <c r="S105" s="11">
        <f>T105/R105</f>
        <v>902.9538245271165</v>
      </c>
      <c r="T105" s="11">
        <f>T103+T104</f>
        <v>78963.80857949983</v>
      </c>
      <c r="U105" s="11">
        <f>U103+U104</f>
        <v>89.26873</v>
      </c>
      <c r="V105" s="11">
        <f>W105/U105</f>
        <v>1462.9354533216726</v>
      </c>
      <c r="W105" s="11">
        <f>W103+W104</f>
        <v>130594.38999</v>
      </c>
      <c r="X105" s="11">
        <f>X103+X104</f>
        <v>22.3251</v>
      </c>
      <c r="Y105" s="11">
        <f>Z105/X105</f>
        <v>357.3340385933322</v>
      </c>
      <c r="Z105" s="11">
        <f>Z103+Z104</f>
        <v>7977.518145</v>
      </c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1:59" s="27" customFormat="1" ht="15">
      <c r="A106" s="68" t="s">
        <v>65</v>
      </c>
      <c r="B106" s="72" t="s">
        <v>64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8"/>
      <c r="AA106" s="49"/>
      <c r="AB106" s="50"/>
      <c r="AC106" s="50"/>
      <c r="AD106" s="49"/>
      <c r="AE106" s="50"/>
      <c r="AF106" s="50"/>
      <c r="AG106" s="49"/>
      <c r="AH106" s="50"/>
      <c r="AI106" s="50"/>
      <c r="AJ106" s="49"/>
      <c r="AK106" s="50"/>
      <c r="AL106" s="50"/>
      <c r="AM106" s="49"/>
      <c r="AN106" s="50"/>
      <c r="AO106" s="50"/>
      <c r="AP106" s="49"/>
      <c r="AQ106" s="49"/>
      <c r="AR106" s="51"/>
      <c r="AS106" s="52"/>
      <c r="AT106" s="50"/>
      <c r="AU106" s="50"/>
      <c r="AV106" s="52"/>
      <c r="AW106" s="50"/>
      <c r="AX106" s="50"/>
      <c r="AY106" s="38"/>
      <c r="AZ106" s="38"/>
      <c r="BA106" s="38"/>
      <c r="BB106" s="38"/>
      <c r="BC106" s="38"/>
      <c r="BD106" s="38"/>
      <c r="BE106" s="38"/>
      <c r="BF106" s="38"/>
      <c r="BG106" s="38"/>
    </row>
    <row r="107" spans="1:59" ht="14.25">
      <c r="A107" s="4" t="s">
        <v>1</v>
      </c>
      <c r="B107" s="4" t="s">
        <v>11</v>
      </c>
      <c r="C107" s="101">
        <f>C103</f>
        <v>69.8868</v>
      </c>
      <c r="D107" s="64">
        <f>E107/C107</f>
        <v>22589.526130399452</v>
      </c>
      <c r="E107" s="64">
        <v>1578709.6947700002</v>
      </c>
      <c r="F107" s="101">
        <f>F103</f>
        <v>90.80749999999999</v>
      </c>
      <c r="G107" s="64">
        <f>H107/F107</f>
        <v>26280.49399179584</v>
      </c>
      <c r="H107" s="64">
        <v>2386465.9581600004</v>
      </c>
      <c r="I107" s="101">
        <f>I103</f>
        <v>23.92091</v>
      </c>
      <c r="J107" s="64">
        <f>K107/I107</f>
        <v>43721.79011960666</v>
      </c>
      <c r="K107" s="64">
        <v>1045865.00649</v>
      </c>
      <c r="L107" s="37">
        <f>L103</f>
        <v>12.41921</v>
      </c>
      <c r="M107" s="31">
        <f>N107/L107</f>
        <v>15549.67023667367</v>
      </c>
      <c r="N107" s="31">
        <v>193114.6201</v>
      </c>
      <c r="O107" s="37">
        <f>O103</f>
        <v>0</v>
      </c>
      <c r="P107" s="31">
        <f>P99+P103</f>
        <v>0</v>
      </c>
      <c r="Q107" s="31">
        <f>Q99+Q103</f>
        <v>0</v>
      </c>
      <c r="R107" s="37">
        <f>R103</f>
        <v>0</v>
      </c>
      <c r="S107" s="31">
        <f>S99+S103</f>
        <v>0</v>
      </c>
      <c r="T107" s="31">
        <f>T99+T103</f>
        <v>0</v>
      </c>
      <c r="U107" s="37">
        <f>U103</f>
        <v>0</v>
      </c>
      <c r="V107" s="31">
        <f>V99+V103</f>
        <v>0</v>
      </c>
      <c r="W107" s="31">
        <f>W99+W103</f>
        <v>0</v>
      </c>
      <c r="X107" s="37">
        <f>X103</f>
        <v>0</v>
      </c>
      <c r="Y107" s="31">
        <f>Y99+Y103</f>
        <v>0</v>
      </c>
      <c r="Z107" s="31">
        <f>Z99+Z103</f>
        <v>0</v>
      </c>
      <c r="AA107" s="42"/>
      <c r="AB107" s="43"/>
      <c r="AC107" s="43"/>
      <c r="AD107" s="42"/>
      <c r="AE107" s="66"/>
      <c r="AF107" s="43"/>
      <c r="AG107" s="42"/>
      <c r="AH107" s="43"/>
      <c r="AI107" s="43"/>
      <c r="AJ107" s="42"/>
      <c r="AK107" s="43"/>
      <c r="AL107" s="43"/>
      <c r="AM107" s="42"/>
      <c r="AN107" s="43"/>
      <c r="AO107" s="43"/>
      <c r="AP107" s="42"/>
      <c r="AQ107" s="43"/>
      <c r="AR107" s="43"/>
      <c r="AS107" s="42"/>
      <c r="AT107" s="43"/>
      <c r="AU107" s="43"/>
      <c r="AV107" s="42"/>
      <c r="AW107" s="43"/>
      <c r="AX107" s="43"/>
      <c r="AY107" s="44"/>
      <c r="AZ107" s="44"/>
      <c r="BA107" s="43"/>
      <c r="BB107" s="44"/>
      <c r="BC107" s="44"/>
      <c r="BD107" s="43"/>
      <c r="BE107" s="44"/>
      <c r="BF107" s="44"/>
      <c r="BG107" s="43"/>
    </row>
    <row r="108" spans="1:59" ht="14.25">
      <c r="A108" s="4" t="s">
        <v>2</v>
      </c>
      <c r="B108" s="4" t="s">
        <v>12</v>
      </c>
      <c r="C108" s="101">
        <f>C104</f>
        <v>26.542210000000004</v>
      </c>
      <c r="D108" s="64">
        <f>E108/C108</f>
        <v>23625.02722079284</v>
      </c>
      <c r="E108" s="31">
        <v>627060.43375</v>
      </c>
      <c r="F108" s="101">
        <f>F104</f>
        <v>94.62887</v>
      </c>
      <c r="G108" s="64">
        <f>H108/F108</f>
        <v>34535.18499470616</v>
      </c>
      <c r="H108" s="64">
        <v>3268025.53129</v>
      </c>
      <c r="I108" s="101">
        <f>I104</f>
        <v>41.407830000000004</v>
      </c>
      <c r="J108" s="64">
        <f>K108/I108</f>
        <v>36830.44367502474</v>
      </c>
      <c r="K108" s="64">
        <f>K100+K104</f>
        <v>1525068.75052</v>
      </c>
      <c r="L108" s="37">
        <f>L104</f>
        <v>30.83974</v>
      </c>
      <c r="M108" s="31">
        <f>M100+M104</f>
        <v>15798.895892766932</v>
      </c>
      <c r="N108" s="31">
        <f>N100+N104</f>
        <v>487233.84162</v>
      </c>
      <c r="O108" s="37">
        <f>O104</f>
        <v>92.64417</v>
      </c>
      <c r="P108" s="31">
        <f>P100+P104</f>
        <v>15583.265031787752</v>
      </c>
      <c r="Q108" s="31">
        <f>Q100+Q104</f>
        <v>1443698.65476</v>
      </c>
      <c r="R108" s="37">
        <f>R104</f>
        <v>87.45055</v>
      </c>
      <c r="S108" s="31">
        <f>S100+S104</f>
        <v>16772.06382452712</v>
      </c>
      <c r="T108" s="31">
        <f>T100+T104</f>
        <v>1466726.20609</v>
      </c>
      <c r="U108" s="37">
        <f>U104</f>
        <v>89.26873</v>
      </c>
      <c r="V108" s="31">
        <f>V100+V104</f>
        <v>14861.995453279103</v>
      </c>
      <c r="W108" s="31">
        <f>W100+W104</f>
        <v>1326711.4593800001</v>
      </c>
      <c r="X108" s="37">
        <f>X104</f>
        <v>22.3251</v>
      </c>
      <c r="Y108" s="31">
        <f>Y100+Y104</f>
        <v>12034.484038593331</v>
      </c>
      <c r="Z108" s="31">
        <f>Z100+Z104</f>
        <v>268671.05961</v>
      </c>
      <c r="AA108" s="44"/>
      <c r="AB108" s="43"/>
      <c r="AC108" s="43"/>
      <c r="AD108" s="44"/>
      <c r="AE108" s="43"/>
      <c r="AF108" s="43"/>
      <c r="AG108" s="44"/>
      <c r="AH108" s="43"/>
      <c r="AI108" s="43"/>
      <c r="AJ108" s="44"/>
      <c r="AK108" s="43"/>
      <c r="AL108" s="43"/>
      <c r="AM108" s="44"/>
      <c r="AN108" s="43"/>
      <c r="AO108" s="43"/>
      <c r="AP108" s="44"/>
      <c r="AQ108" s="43"/>
      <c r="AR108" s="43"/>
      <c r="AS108" s="44"/>
      <c r="AT108" s="43"/>
      <c r="AU108" s="43"/>
      <c r="AV108" s="44"/>
      <c r="AW108" s="43"/>
      <c r="AX108" s="43"/>
      <c r="AY108" s="44"/>
      <c r="AZ108" s="44"/>
      <c r="BA108" s="43"/>
      <c r="BB108" s="43"/>
      <c r="BC108" s="44"/>
      <c r="BD108" s="43"/>
      <c r="BE108" s="43"/>
      <c r="BF108" s="44"/>
      <c r="BG108" s="43"/>
    </row>
    <row r="109" spans="1:59" ht="15">
      <c r="A109" s="9" t="s">
        <v>31</v>
      </c>
      <c r="B109" s="9" t="s">
        <v>32</v>
      </c>
      <c r="C109" s="11">
        <f>C105</f>
        <v>96.42901</v>
      </c>
      <c r="D109" s="11">
        <f>E109/C109</f>
        <v>22874.5491478135</v>
      </c>
      <c r="E109" s="11">
        <f>E101+E105</f>
        <v>2205770.12852</v>
      </c>
      <c r="F109" s="11">
        <f>F105</f>
        <v>185.43637</v>
      </c>
      <c r="G109" s="11">
        <f>H109/F109</f>
        <v>30492.89354321377</v>
      </c>
      <c r="H109" s="11">
        <f>H101+H105</f>
        <v>5654491.48945</v>
      </c>
      <c r="I109" s="11">
        <f>I105</f>
        <v>65.32874000000001</v>
      </c>
      <c r="J109" s="11">
        <f>K109/I109</f>
        <v>39353.793705649296</v>
      </c>
      <c r="K109" s="11">
        <f>K101+K105</f>
        <v>2570933.75701</v>
      </c>
      <c r="L109" s="11">
        <f>L105</f>
        <v>43.25895</v>
      </c>
      <c r="M109" s="11">
        <f>N109/L109</f>
        <v>15727.345710425243</v>
      </c>
      <c r="N109" s="11">
        <f>N101+N105</f>
        <v>680348.46172</v>
      </c>
      <c r="O109" s="11">
        <f>O105</f>
        <v>92.64417</v>
      </c>
      <c r="P109" s="11">
        <f>Q109/O109</f>
        <v>15583.265031787754</v>
      </c>
      <c r="Q109" s="11">
        <f>Q101+Q105</f>
        <v>1443698.65476</v>
      </c>
      <c r="R109" s="11">
        <f>R105</f>
        <v>87.45055</v>
      </c>
      <c r="S109" s="11">
        <f>T109/R109</f>
        <v>16772.06382452712</v>
      </c>
      <c r="T109" s="11">
        <f>T101+T105</f>
        <v>1466726.20609</v>
      </c>
      <c r="U109" s="11">
        <f>U105</f>
        <v>89.26873</v>
      </c>
      <c r="V109" s="11">
        <f>W109/U109</f>
        <v>14861.995453279105</v>
      </c>
      <c r="W109" s="11">
        <f>W101+W105</f>
        <v>1326711.4593800001</v>
      </c>
      <c r="X109" s="11">
        <f>X105</f>
        <v>22.3251</v>
      </c>
      <c r="Y109" s="11">
        <f>Z109/X109</f>
        <v>12034.484038593333</v>
      </c>
      <c r="Z109" s="11">
        <f>Z101+Z105</f>
        <v>268671.05961</v>
      </c>
      <c r="AA109" s="44"/>
      <c r="AB109" s="43"/>
      <c r="AC109" s="43"/>
      <c r="AD109" s="44"/>
      <c r="AE109" s="43"/>
      <c r="AF109" s="43"/>
      <c r="AG109" s="44"/>
      <c r="AH109" s="43"/>
      <c r="AI109" s="43"/>
      <c r="AJ109" s="44"/>
      <c r="AK109" s="43"/>
      <c r="AL109" s="43"/>
      <c r="AM109" s="44"/>
      <c r="AN109" s="43"/>
      <c r="AO109" s="43"/>
      <c r="AP109" s="44"/>
      <c r="AQ109" s="43"/>
      <c r="AR109" s="43"/>
      <c r="AS109" s="44"/>
      <c r="AT109" s="43"/>
      <c r="AU109" s="43"/>
      <c r="AV109" s="44"/>
      <c r="AW109" s="43"/>
      <c r="AX109" s="43"/>
      <c r="AY109" s="44"/>
      <c r="AZ109" s="44"/>
      <c r="BA109" s="43"/>
      <c r="BB109" s="43"/>
      <c r="BC109" s="44"/>
      <c r="BD109" s="43"/>
      <c r="BE109" s="43"/>
      <c r="BF109" s="44"/>
      <c r="BG109" s="43"/>
    </row>
    <row r="113" spans="1:59" ht="15.75">
      <c r="A113" s="19" t="s">
        <v>45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7" customFormat="1" ht="15">
      <c r="A114" s="28"/>
      <c r="B114" s="28"/>
      <c r="C114" s="136">
        <f>C96</f>
        <v>2023</v>
      </c>
      <c r="D114" s="136"/>
      <c r="E114" s="136"/>
      <c r="F114" s="136">
        <f>F96</f>
        <v>2022</v>
      </c>
      <c r="G114" s="136"/>
      <c r="H114" s="136"/>
      <c r="I114" s="136">
        <f>I96</f>
        <v>2021</v>
      </c>
      <c r="J114" s="136"/>
      <c r="K114" s="136"/>
      <c r="L114" s="136">
        <f>L96</f>
        <v>2020</v>
      </c>
      <c r="M114" s="136"/>
      <c r="N114" s="136"/>
      <c r="O114" s="136" t="e">
        <f>#REF!</f>
        <v>#REF!</v>
      </c>
      <c r="P114" s="136"/>
      <c r="Q114" s="136"/>
      <c r="R114" s="136" t="e">
        <f>#REF!</f>
        <v>#REF!</v>
      </c>
      <c r="S114" s="136"/>
      <c r="T114" s="136"/>
      <c r="U114" s="136" t="e">
        <f>#REF!</f>
        <v>#REF!</v>
      </c>
      <c r="V114" s="136"/>
      <c r="W114" s="136"/>
      <c r="X114" s="136" t="e">
        <f>#REF!</f>
        <v>#REF!</v>
      </c>
      <c r="Y114" s="136"/>
      <c r="Z114" s="136"/>
      <c r="AA114" s="136" t="e">
        <f>#REF!</f>
        <v>#REF!</v>
      </c>
      <c r="AB114" s="136"/>
      <c r="AC114" s="136"/>
      <c r="AD114" s="136" t="e">
        <f>#REF!</f>
        <v>#REF!</v>
      </c>
      <c r="AE114" s="136"/>
      <c r="AF114" s="136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</row>
    <row r="115" spans="1:59" s="24" customFormat="1" ht="33.75" customHeight="1">
      <c r="A115" s="22"/>
      <c r="B115" s="22"/>
      <c r="C115" s="33" t="s">
        <v>49</v>
      </c>
      <c r="D115" s="33" t="s">
        <v>47</v>
      </c>
      <c r="E115" s="22" t="s">
        <v>26</v>
      </c>
      <c r="F115" s="33" t="s">
        <v>49</v>
      </c>
      <c r="G115" s="33" t="s">
        <v>47</v>
      </c>
      <c r="H115" s="22" t="s">
        <v>26</v>
      </c>
      <c r="I115" s="33" t="s">
        <v>49</v>
      </c>
      <c r="J115" s="33" t="s">
        <v>47</v>
      </c>
      <c r="K115" s="22" t="s">
        <v>26</v>
      </c>
      <c r="L115" s="33" t="s">
        <v>49</v>
      </c>
      <c r="M115" s="33" t="s">
        <v>47</v>
      </c>
      <c r="N115" s="22" t="s">
        <v>26</v>
      </c>
      <c r="O115" s="33" t="s">
        <v>49</v>
      </c>
      <c r="P115" s="33" t="s">
        <v>47</v>
      </c>
      <c r="Q115" s="22" t="s">
        <v>26</v>
      </c>
      <c r="R115" s="33" t="s">
        <v>49</v>
      </c>
      <c r="S115" s="33" t="s">
        <v>47</v>
      </c>
      <c r="T115" s="22" t="s">
        <v>26</v>
      </c>
      <c r="U115" s="33" t="s">
        <v>49</v>
      </c>
      <c r="V115" s="33" t="s">
        <v>47</v>
      </c>
      <c r="W115" s="22" t="s">
        <v>26</v>
      </c>
      <c r="X115" s="33" t="s">
        <v>49</v>
      </c>
      <c r="Y115" s="33" t="s">
        <v>47</v>
      </c>
      <c r="Z115" s="22" t="s">
        <v>26</v>
      </c>
      <c r="AA115" s="33" t="s">
        <v>49</v>
      </c>
      <c r="AB115" s="33" t="s">
        <v>47</v>
      </c>
      <c r="AC115" s="22" t="s">
        <v>26</v>
      </c>
      <c r="AD115" s="33" t="s">
        <v>49</v>
      </c>
      <c r="AE115" s="33" t="s">
        <v>47</v>
      </c>
      <c r="AF115" s="22" t="s">
        <v>26</v>
      </c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</row>
    <row r="116" spans="1:59" s="24" customFormat="1" ht="28.5">
      <c r="A116" s="22"/>
      <c r="B116" s="22"/>
      <c r="C116" s="33" t="s">
        <v>46</v>
      </c>
      <c r="D116" s="33" t="s">
        <v>48</v>
      </c>
      <c r="E116" s="22" t="s">
        <v>17</v>
      </c>
      <c r="F116" s="33" t="s">
        <v>46</v>
      </c>
      <c r="G116" s="33" t="s">
        <v>48</v>
      </c>
      <c r="H116" s="22" t="s">
        <v>17</v>
      </c>
      <c r="I116" s="33" t="s">
        <v>46</v>
      </c>
      <c r="J116" s="33" t="s">
        <v>48</v>
      </c>
      <c r="K116" s="22" t="s">
        <v>17</v>
      </c>
      <c r="L116" s="33" t="s">
        <v>46</v>
      </c>
      <c r="M116" s="33" t="s">
        <v>48</v>
      </c>
      <c r="N116" s="22" t="s">
        <v>17</v>
      </c>
      <c r="O116" s="33" t="s">
        <v>46</v>
      </c>
      <c r="P116" s="33" t="s">
        <v>48</v>
      </c>
      <c r="Q116" s="22" t="s">
        <v>17</v>
      </c>
      <c r="R116" s="33" t="s">
        <v>46</v>
      </c>
      <c r="S116" s="33" t="s">
        <v>48</v>
      </c>
      <c r="T116" s="22" t="s">
        <v>17</v>
      </c>
      <c r="U116" s="33" t="s">
        <v>46</v>
      </c>
      <c r="V116" s="33" t="s">
        <v>48</v>
      </c>
      <c r="W116" s="22" t="s">
        <v>17</v>
      </c>
      <c r="X116" s="33" t="s">
        <v>46</v>
      </c>
      <c r="Y116" s="33" t="s">
        <v>48</v>
      </c>
      <c r="Z116" s="22" t="s">
        <v>17</v>
      </c>
      <c r="AA116" s="33" t="s">
        <v>46</v>
      </c>
      <c r="AB116" s="33" t="s">
        <v>48</v>
      </c>
      <c r="AC116" s="22" t="s">
        <v>17</v>
      </c>
      <c r="AD116" s="33" t="s">
        <v>46</v>
      </c>
      <c r="AE116" s="33" t="s">
        <v>48</v>
      </c>
      <c r="AF116" s="22" t="s">
        <v>17</v>
      </c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</row>
    <row r="117" spans="1:59" ht="14.25">
      <c r="A117" s="4" t="s">
        <v>1</v>
      </c>
      <c r="B117" s="4" t="s">
        <v>11</v>
      </c>
      <c r="C117" s="64">
        <v>235.908325510204</v>
      </c>
      <c r="D117" s="64">
        <f>E117/C117</f>
        <v>40.55255290083521</v>
      </c>
      <c r="E117" s="64">
        <v>9566.68485</v>
      </c>
      <c r="F117" s="64">
        <v>227.582915510204</v>
      </c>
      <c r="G117" s="64">
        <f>H117/F117</f>
        <v>40.284887156166754</v>
      </c>
      <c r="H117" s="64">
        <v>9168.15207</v>
      </c>
      <c r="I117" s="64">
        <v>206.26085292517</v>
      </c>
      <c r="J117" s="64">
        <f>K117/I117</f>
        <v>38.945616029786805</v>
      </c>
      <c r="K117" s="64">
        <v>8032.95598</v>
      </c>
      <c r="L117" s="31">
        <v>187.442595510204</v>
      </c>
      <c r="M117" s="31">
        <f>N117/L117</f>
        <v>36.41527141374021</v>
      </c>
      <c r="N117" s="31">
        <v>6825.77299</v>
      </c>
      <c r="O117" s="31">
        <v>267.036252380746</v>
      </c>
      <c r="P117" s="31">
        <f>Q117/O117</f>
        <v>36.38854463904476</v>
      </c>
      <c r="Q117" s="31">
        <v>9717.06059</v>
      </c>
      <c r="R117" s="31">
        <v>290.209375599433</v>
      </c>
      <c r="S117" s="31">
        <f>T117/R117</f>
        <v>33.39718728928252</v>
      </c>
      <c r="T117" s="31">
        <v>9692.17687</v>
      </c>
      <c r="U117" s="31">
        <v>295.83883</v>
      </c>
      <c r="V117" s="31">
        <f>W117/U117</f>
        <v>30.809060866012754</v>
      </c>
      <c r="W117" s="31">
        <v>9114.51652</v>
      </c>
      <c r="X117" s="31">
        <v>325.316167222301</v>
      </c>
      <c r="Y117" s="31">
        <f>Z117/X117</f>
        <v>28.718615984479595</v>
      </c>
      <c r="Z117" s="31">
        <v>9342.63008000001</v>
      </c>
      <c r="AA117" s="6">
        <v>329.24948703962707</v>
      </c>
      <c r="AB117" s="6">
        <f>AC117/AA117</f>
        <v>27.684200215330797</v>
      </c>
      <c r="AC117" s="6">
        <v>9115.008719999998</v>
      </c>
      <c r="AD117" s="6">
        <v>370.58496456495885</v>
      </c>
      <c r="AE117" s="6">
        <f>AF117/AD117</f>
        <v>25.991256313669563</v>
      </c>
      <c r="AF117" s="6">
        <v>9631.968799999999</v>
      </c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</row>
    <row r="118" spans="1:59" ht="14.25">
      <c r="A118" s="4" t="s">
        <v>2</v>
      </c>
      <c r="B118" s="4" t="s">
        <v>12</v>
      </c>
      <c r="C118" s="31">
        <v>264.43915551020416</v>
      </c>
      <c r="D118" s="31">
        <f>E118/C118</f>
        <v>42.15850046295359</v>
      </c>
      <c r="E118" s="31">
        <v>11148.358259999999</v>
      </c>
      <c r="F118" s="64">
        <v>269.498751564626</v>
      </c>
      <c r="G118" s="64">
        <f>H118/F118</f>
        <v>40.61740889873867</v>
      </c>
      <c r="H118" s="64">
        <v>10946.34099</v>
      </c>
      <c r="I118" s="64">
        <v>269.756198843537</v>
      </c>
      <c r="J118" s="64">
        <f>K118/I118</f>
        <v>39.66492842748757</v>
      </c>
      <c r="K118" s="64">
        <v>10699.86032</v>
      </c>
      <c r="L118" s="120">
        <v>213.79746</v>
      </c>
      <c r="M118" s="31">
        <f>N118/L118</f>
        <v>37.10106191158679</v>
      </c>
      <c r="N118" s="31">
        <v>7932.1128</v>
      </c>
      <c r="O118" s="36">
        <v>296.7656</v>
      </c>
      <c r="P118" s="31">
        <f>Q118/O118</f>
        <v>36.04085119703901</v>
      </c>
      <c r="Q118" s="31">
        <v>10695.68483</v>
      </c>
      <c r="R118" s="63">
        <v>297.0678</v>
      </c>
      <c r="S118" s="31">
        <v>35.14429207743149</v>
      </c>
      <c r="T118" s="64">
        <v>10440.23753</v>
      </c>
      <c r="U118" s="8">
        <v>320.47959</v>
      </c>
      <c r="V118" s="6">
        <f>W118/U118</f>
        <v>31.992501737786174</v>
      </c>
      <c r="W118" s="7">
        <v>10252.94384</v>
      </c>
      <c r="X118" s="8">
        <v>354.5</v>
      </c>
      <c r="Y118" s="6">
        <f>Z118/X118</f>
        <v>30.016925246826517</v>
      </c>
      <c r="Z118" s="7">
        <v>10641</v>
      </c>
      <c r="AA118" s="5">
        <v>369.185618</v>
      </c>
      <c r="AB118" s="6">
        <f>AC118/AA118</f>
        <v>29.34983206740193</v>
      </c>
      <c r="AC118" s="6">
        <v>10835.53589</v>
      </c>
      <c r="AD118" s="5">
        <v>378.946403</v>
      </c>
      <c r="AE118" s="6">
        <f>AF118/AD118</f>
        <v>29.1900041072563</v>
      </c>
      <c r="AF118" s="6">
        <v>11061.44706</v>
      </c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</row>
    <row r="119" spans="1:59" ht="14.25">
      <c r="A119" s="56" t="s">
        <v>37</v>
      </c>
      <c r="B119" s="56" t="s">
        <v>38</v>
      </c>
      <c r="C119" s="36">
        <v>178.12169581538691</v>
      </c>
      <c r="D119" s="31">
        <f>E119/C119</f>
        <v>40.77588935335403</v>
      </c>
      <c r="E119" s="31">
        <v>7263.07056</v>
      </c>
      <c r="F119" s="63">
        <v>174.326</v>
      </c>
      <c r="G119" s="64">
        <f>H119/F119</f>
        <v>38.84629946192766</v>
      </c>
      <c r="H119" s="64">
        <v>6771.92</v>
      </c>
      <c r="I119" s="63">
        <v>199.656</v>
      </c>
      <c r="J119" s="64">
        <f>K119/I119</f>
        <v>39.00529921464919</v>
      </c>
      <c r="K119" s="64">
        <v>7787.642019999999</v>
      </c>
      <c r="L119" s="36">
        <v>168.928</v>
      </c>
      <c r="M119" s="31">
        <f>N119/L119</f>
        <v>37.63416171386626</v>
      </c>
      <c r="N119" s="31">
        <v>6357.46367</v>
      </c>
      <c r="O119" s="36">
        <v>181.86533333333333</v>
      </c>
      <c r="P119" s="31">
        <f>Q119/O119</f>
        <v>34.96300825152677</v>
      </c>
      <c r="Q119" s="31">
        <v>6358.55915</v>
      </c>
      <c r="R119" s="5">
        <v>172.54305986895542</v>
      </c>
      <c r="S119" s="31">
        <f>T119/R119</f>
        <v>35.68723815769014</v>
      </c>
      <c r="T119" s="6">
        <v>6157.5852700000005</v>
      </c>
      <c r="U119" s="5">
        <v>212.45981554677206</v>
      </c>
      <c r="V119" s="6">
        <f>W119/U119</f>
        <v>32.449330581680165</v>
      </c>
      <c r="W119" s="6">
        <v>6894.178789999998</v>
      </c>
      <c r="X119" s="8">
        <f>219.074/0.75</f>
        <v>292.0986666666667</v>
      </c>
      <c r="Y119" s="6">
        <f>Z119/X119</f>
        <v>29.86387763951906</v>
      </c>
      <c r="Z119" s="7">
        <v>8723.19884</v>
      </c>
      <c r="AA119" s="35">
        <f>242.052041/0.75</f>
        <v>322.7360546666667</v>
      </c>
      <c r="AB119" s="6">
        <f>AC119/AA119</f>
        <v>28.306844642553536</v>
      </c>
      <c r="AC119" s="35">
        <v>9135.63936</v>
      </c>
      <c r="AD119" s="35"/>
      <c r="AE119" s="35"/>
      <c r="AF119" s="35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</row>
    <row r="120" spans="1:59" ht="15">
      <c r="A120" s="9" t="s">
        <v>31</v>
      </c>
      <c r="B120" s="9" t="s">
        <v>32</v>
      </c>
      <c r="C120" s="11">
        <f>SUM(C117:C119)</f>
        <v>678.4691768357951</v>
      </c>
      <c r="D120" s="11">
        <f>E120/C120</f>
        <v>41.23711824387173</v>
      </c>
      <c r="E120" s="11">
        <f>SUM(E117:E119)</f>
        <v>27978.11367</v>
      </c>
      <c r="F120" s="11">
        <f>SUM(F117:F119)</f>
        <v>671.40766707483</v>
      </c>
      <c r="G120" s="11">
        <f>H120/F120</f>
        <v>40.04484068097996</v>
      </c>
      <c r="H120" s="11">
        <f>SUM(H117:H119)</f>
        <v>26886.41306</v>
      </c>
      <c r="I120" s="11">
        <f>SUM(I117:I119)</f>
        <v>675.673051768707</v>
      </c>
      <c r="J120" s="11">
        <f>K120/I120</f>
        <v>39.25043073802853</v>
      </c>
      <c r="K120" s="11">
        <f>SUM(K117:K119)</f>
        <v>26520.458319999998</v>
      </c>
      <c r="L120" s="11">
        <f>SUM(L117:L119)</f>
        <v>570.168055510204</v>
      </c>
      <c r="M120" s="11">
        <f>N120/L120</f>
        <v>37.033553977529195</v>
      </c>
      <c r="N120" s="11">
        <f>SUM(N117:N119)</f>
        <v>21115.34946</v>
      </c>
      <c r="O120" s="11">
        <f>SUM(O117:O119)</f>
        <v>745.6671857140793</v>
      </c>
      <c r="P120" s="11">
        <f>Q120/O120</f>
        <v>35.90248449026596</v>
      </c>
      <c r="Q120" s="11">
        <f>SUM(Q117:Q119)</f>
        <v>26771.30457</v>
      </c>
      <c r="R120" s="11">
        <f>SUM(R117:R119)</f>
        <v>759.8202354683883</v>
      </c>
      <c r="S120" s="11">
        <f>T120/R120</f>
        <v>34.600288914118785</v>
      </c>
      <c r="T120" s="11">
        <f>SUM(T117:T119)</f>
        <v>26289.99967</v>
      </c>
      <c r="U120" s="11">
        <f>SUM(U117:U119)</f>
        <v>828.7782355467721</v>
      </c>
      <c r="V120" s="11">
        <f>W120/U120</f>
        <v>31.687172784736962</v>
      </c>
      <c r="W120" s="11">
        <f>SUM(W117:W119)</f>
        <v>26261.639149999995</v>
      </c>
      <c r="X120" s="11">
        <f>SUM(X117:X119)</f>
        <v>971.9148338889677</v>
      </c>
      <c r="Y120" s="11">
        <f>Z120/X120</f>
        <v>29.536362569067958</v>
      </c>
      <c r="Z120" s="11">
        <f>SUM(Z117:Z119)</f>
        <v>28706.828920000007</v>
      </c>
      <c r="AA120" s="11">
        <f>SUM(AA117:AA119)</f>
        <v>1021.1711597062938</v>
      </c>
      <c r="AB120" s="11">
        <f>AC120/AA120</f>
        <v>28.483162390098915</v>
      </c>
      <c r="AC120" s="11">
        <f>SUM(AC117:AC119)</f>
        <v>29086.18397</v>
      </c>
      <c r="AD120" s="11">
        <f>SUM(AD117:AD119)</f>
        <v>749.5313675649588</v>
      </c>
      <c r="AE120" s="11">
        <f>AF120/AD120</f>
        <v>27.608472114019413</v>
      </c>
      <c r="AF120" s="11">
        <f>SUM(AF117:AF119)</f>
        <v>20693.41586</v>
      </c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33:59" ht="14.25"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</row>
    <row r="122" spans="33:59" ht="14.25"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</row>
    <row r="123" spans="33:59" ht="14.25"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</row>
    <row r="124" spans="1:59" ht="15.75">
      <c r="A124" s="19" t="s">
        <v>50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3"/>
      <c r="AB124" s="3"/>
      <c r="AC124" s="3"/>
      <c r="AD124" s="3"/>
      <c r="AE124" s="3"/>
      <c r="AF124" s="3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</row>
    <row r="125" spans="1:59" s="27" customFormat="1" ht="15">
      <c r="A125" s="28"/>
      <c r="B125" s="28"/>
      <c r="C125" s="136">
        <f>C114</f>
        <v>2023</v>
      </c>
      <c r="D125" s="136"/>
      <c r="E125" s="136"/>
      <c r="F125" s="136">
        <f>F114</f>
        <v>2022</v>
      </c>
      <c r="G125" s="136"/>
      <c r="H125" s="136"/>
      <c r="I125" s="136">
        <f>I114</f>
        <v>2021</v>
      </c>
      <c r="J125" s="136"/>
      <c r="K125" s="136"/>
      <c r="L125" s="136">
        <f>L114</f>
        <v>2020</v>
      </c>
      <c r="M125" s="136"/>
      <c r="N125" s="136"/>
      <c r="O125" s="136" t="e">
        <f>O114</f>
        <v>#REF!</v>
      </c>
      <c r="P125" s="136"/>
      <c r="Q125" s="136"/>
      <c r="R125" s="136" t="e">
        <f>R114</f>
        <v>#REF!</v>
      </c>
      <c r="S125" s="136"/>
      <c r="T125" s="136"/>
      <c r="U125" s="136" t="e">
        <f>U114</f>
        <v>#REF!</v>
      </c>
      <c r="V125" s="136"/>
      <c r="W125" s="136"/>
      <c r="X125" s="136" t="e">
        <f>X114</f>
        <v>#REF!</v>
      </c>
      <c r="Y125" s="136"/>
      <c r="Z125" s="136"/>
      <c r="AA125" s="136" t="e">
        <f>AA114</f>
        <v>#REF!</v>
      </c>
      <c r="AB125" s="136"/>
      <c r="AC125" s="136"/>
      <c r="AD125" s="136" t="e">
        <f>AD114</f>
        <v>#REF!</v>
      </c>
      <c r="AE125" s="136"/>
      <c r="AF125" s="136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</row>
    <row r="126" spans="1:59" s="24" customFormat="1" ht="33.75" customHeight="1">
      <c r="A126" s="22"/>
      <c r="B126" s="22"/>
      <c r="C126" s="33" t="s">
        <v>49</v>
      </c>
      <c r="D126" s="33" t="s">
        <v>47</v>
      </c>
      <c r="E126" s="22" t="s">
        <v>26</v>
      </c>
      <c r="F126" s="33" t="s">
        <v>49</v>
      </c>
      <c r="G126" s="33" t="s">
        <v>47</v>
      </c>
      <c r="H126" s="22" t="s">
        <v>26</v>
      </c>
      <c r="I126" s="33" t="s">
        <v>49</v>
      </c>
      <c r="J126" s="33" t="s">
        <v>47</v>
      </c>
      <c r="K126" s="22" t="s">
        <v>26</v>
      </c>
      <c r="L126" s="33" t="s">
        <v>49</v>
      </c>
      <c r="M126" s="33" t="s">
        <v>47</v>
      </c>
      <c r="N126" s="22" t="s">
        <v>26</v>
      </c>
      <c r="O126" s="33" t="s">
        <v>49</v>
      </c>
      <c r="P126" s="33" t="s">
        <v>47</v>
      </c>
      <c r="Q126" s="22" t="s">
        <v>26</v>
      </c>
      <c r="R126" s="33" t="s">
        <v>49</v>
      </c>
      <c r="S126" s="33" t="s">
        <v>47</v>
      </c>
      <c r="T126" s="22" t="s">
        <v>26</v>
      </c>
      <c r="U126" s="33" t="s">
        <v>49</v>
      </c>
      <c r="V126" s="33" t="s">
        <v>47</v>
      </c>
      <c r="W126" s="22" t="s">
        <v>26</v>
      </c>
      <c r="X126" s="33" t="s">
        <v>49</v>
      </c>
      <c r="Y126" s="33" t="s">
        <v>47</v>
      </c>
      <c r="Z126" s="22" t="s">
        <v>26</v>
      </c>
      <c r="AA126" s="33" t="s">
        <v>49</v>
      </c>
      <c r="AB126" s="33" t="s">
        <v>47</v>
      </c>
      <c r="AC126" s="22" t="s">
        <v>26</v>
      </c>
      <c r="AD126" s="33" t="s">
        <v>49</v>
      </c>
      <c r="AE126" s="33" t="s">
        <v>47</v>
      </c>
      <c r="AF126" s="22" t="s">
        <v>26</v>
      </c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59" s="24" customFormat="1" ht="28.5">
      <c r="A127" s="22"/>
      <c r="B127" s="22"/>
      <c r="C127" s="33" t="s">
        <v>46</v>
      </c>
      <c r="D127" s="33" t="s">
        <v>48</v>
      </c>
      <c r="E127" s="22" t="s">
        <v>17</v>
      </c>
      <c r="F127" s="33" t="s">
        <v>46</v>
      </c>
      <c r="G127" s="33" t="s">
        <v>48</v>
      </c>
      <c r="H127" s="22" t="s">
        <v>17</v>
      </c>
      <c r="I127" s="33" t="s">
        <v>46</v>
      </c>
      <c r="J127" s="33" t="s">
        <v>48</v>
      </c>
      <c r="K127" s="22" t="s">
        <v>17</v>
      </c>
      <c r="L127" s="33" t="s">
        <v>46</v>
      </c>
      <c r="M127" s="33" t="s">
        <v>48</v>
      </c>
      <c r="N127" s="22" t="s">
        <v>17</v>
      </c>
      <c r="O127" s="33" t="s">
        <v>46</v>
      </c>
      <c r="P127" s="33" t="s">
        <v>48</v>
      </c>
      <c r="Q127" s="22" t="s">
        <v>17</v>
      </c>
      <c r="R127" s="33" t="s">
        <v>46</v>
      </c>
      <c r="S127" s="33" t="s">
        <v>48</v>
      </c>
      <c r="T127" s="22" t="s">
        <v>17</v>
      </c>
      <c r="U127" s="33" t="s">
        <v>46</v>
      </c>
      <c r="V127" s="33" t="s">
        <v>48</v>
      </c>
      <c r="W127" s="22" t="s">
        <v>17</v>
      </c>
      <c r="X127" s="33" t="s">
        <v>46</v>
      </c>
      <c r="Y127" s="33" t="s">
        <v>48</v>
      </c>
      <c r="Z127" s="22" t="s">
        <v>17</v>
      </c>
      <c r="AA127" s="33" t="s">
        <v>46</v>
      </c>
      <c r="AB127" s="33" t="s">
        <v>48</v>
      </c>
      <c r="AC127" s="22" t="s">
        <v>17</v>
      </c>
      <c r="AD127" s="33" t="s">
        <v>46</v>
      </c>
      <c r="AE127" s="33" t="s">
        <v>48</v>
      </c>
      <c r="AF127" s="22" t="s">
        <v>17</v>
      </c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</row>
    <row r="128" spans="1:59" ht="14.25">
      <c r="A128" s="4" t="s">
        <v>1</v>
      </c>
      <c r="B128" s="4" t="s">
        <v>11</v>
      </c>
      <c r="C128" s="64">
        <v>2370.26071467066</v>
      </c>
      <c r="D128" s="64">
        <f>E128/C128</f>
        <v>42.4949107819961</v>
      </c>
      <c r="E128" s="64">
        <v>100724.0176</v>
      </c>
      <c r="F128" s="64">
        <v>1577.74065167665</v>
      </c>
      <c r="G128" s="64">
        <f>H128/F128</f>
        <v>42.38861827444778</v>
      </c>
      <c r="H128" s="64">
        <v>66878.24622</v>
      </c>
      <c r="I128" s="64">
        <v>1507.04402437126</v>
      </c>
      <c r="J128" s="64">
        <f>K128/I128</f>
        <v>36.94157189815781</v>
      </c>
      <c r="K128" s="64">
        <v>55672.57518</v>
      </c>
      <c r="L128" s="31">
        <v>1382.88275562874</v>
      </c>
      <c r="M128" s="31">
        <f>N128/L128</f>
        <v>35.692658093461155</v>
      </c>
      <c r="N128" s="31">
        <v>49358.76138</v>
      </c>
      <c r="O128" s="31">
        <v>1440.06823497006</v>
      </c>
      <c r="P128" s="31">
        <f>Q128/O128</f>
        <v>36.4935229691339</v>
      </c>
      <c r="Q128" s="31">
        <v>52553.16321</v>
      </c>
      <c r="R128" s="31">
        <v>1629.94231694611</v>
      </c>
      <c r="S128" s="31">
        <f>T128/R128</f>
        <v>32.35412375746274</v>
      </c>
      <c r="T128" s="31">
        <v>52735.35544</v>
      </c>
      <c r="U128" s="31">
        <v>1625.25486850299</v>
      </c>
      <c r="V128" s="31">
        <f>W128/U128</f>
        <v>27.37653363929495</v>
      </c>
      <c r="W128" s="31">
        <v>44493.84458</v>
      </c>
      <c r="X128" s="31">
        <v>1629.23364784431</v>
      </c>
      <c r="Y128" s="31">
        <f>Z128/X128</f>
        <v>24.535520754123247</v>
      </c>
      <c r="Z128" s="31">
        <v>39974.09598</v>
      </c>
      <c r="AA128" s="6">
        <v>1435.3896358083834</v>
      </c>
      <c r="AB128" s="6">
        <f>AC128/AA128</f>
        <v>24.83405738813529</v>
      </c>
      <c r="AC128" s="6">
        <v>35646.548590000006</v>
      </c>
      <c r="AD128" s="6">
        <v>1561.1382435329342</v>
      </c>
      <c r="AE128" s="6">
        <f>AF128/AD128</f>
        <v>23.60508363859231</v>
      </c>
      <c r="AF128" s="6">
        <v>36850.79881</v>
      </c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</row>
    <row r="129" spans="1:59" ht="14.25">
      <c r="A129" s="4" t="s">
        <v>2</v>
      </c>
      <c r="B129" s="4" t="s">
        <v>12</v>
      </c>
      <c r="C129" s="31">
        <v>949.07891</v>
      </c>
      <c r="D129" s="31">
        <f>E129/C129</f>
        <v>41.505388914394906</v>
      </c>
      <c r="E129" s="31">
        <v>39391.88927</v>
      </c>
      <c r="F129" s="64">
        <v>891.000212857143</v>
      </c>
      <c r="G129" s="64">
        <f>H129/F129</f>
        <v>42.496542900457115</v>
      </c>
      <c r="H129" s="64">
        <v>37864.42877</v>
      </c>
      <c r="I129" s="64">
        <v>944.540194761905</v>
      </c>
      <c r="J129" s="64">
        <f>K129/I129</f>
        <v>38.23092016650767</v>
      </c>
      <c r="K129" s="64">
        <v>36110.64078</v>
      </c>
      <c r="L129" s="121">
        <v>896.90747</v>
      </c>
      <c r="M129" s="31">
        <f>N129/L129</f>
        <v>35.6473422838144</v>
      </c>
      <c r="N129" s="31">
        <v>31972.36758</v>
      </c>
      <c r="O129" s="31">
        <v>1156.83246</v>
      </c>
      <c r="P129" s="31">
        <f>Q129/O129</f>
        <v>35.66612489417871</v>
      </c>
      <c r="Q129" s="31">
        <v>41259.731</v>
      </c>
      <c r="R129" s="31">
        <v>1202.8477</v>
      </c>
      <c r="S129" s="31">
        <v>34.6305300247072</v>
      </c>
      <c r="T129" s="31">
        <v>41655.25339</v>
      </c>
      <c r="U129" s="31">
        <v>1131.32271</v>
      </c>
      <c r="V129" s="6">
        <f>W129/U129</f>
        <v>27.656590178411605</v>
      </c>
      <c r="W129" s="31">
        <v>31288.52855</v>
      </c>
      <c r="X129" s="31">
        <v>1231.3</v>
      </c>
      <c r="Y129" s="6">
        <f>Z129/X129</f>
        <v>25.086818809388454</v>
      </c>
      <c r="Z129" s="31">
        <v>30889.4</v>
      </c>
      <c r="AA129" s="6">
        <v>1344.18277</v>
      </c>
      <c r="AB129" s="6">
        <f>AC129/AA129</f>
        <v>25.837706147654313</v>
      </c>
      <c r="AC129" s="6">
        <v>34730.59942</v>
      </c>
      <c r="AD129" s="6">
        <v>1403.604723</v>
      </c>
      <c r="AE129" s="6">
        <f>AF129/AD129</f>
        <v>24.64091003917205</v>
      </c>
      <c r="AF129" s="6">
        <v>34586.09771</v>
      </c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</row>
    <row r="130" spans="1:59" ht="14.25">
      <c r="A130" s="56" t="s">
        <v>37</v>
      </c>
      <c r="B130" s="56" t="s">
        <v>38</v>
      </c>
      <c r="C130" s="31">
        <v>14628.86241430701</v>
      </c>
      <c r="D130" s="31">
        <f>E130/C130</f>
        <v>47.39487357895451</v>
      </c>
      <c r="E130" s="31">
        <v>693333.08473</v>
      </c>
      <c r="F130" s="64">
        <v>17747.988</v>
      </c>
      <c r="G130" s="64">
        <f>H130/F130</f>
        <v>45.314317656739455</v>
      </c>
      <c r="H130" s="64">
        <v>804237.966</v>
      </c>
      <c r="I130" s="64">
        <v>20845.27</v>
      </c>
      <c r="J130" s="64">
        <f>K130/I130</f>
        <v>41.61211996390548</v>
      </c>
      <c r="K130" s="64">
        <v>867415.87592</v>
      </c>
      <c r="L130" s="64">
        <v>22991.14</v>
      </c>
      <c r="M130" s="31">
        <f>N130/L130</f>
        <v>39.10166235341092</v>
      </c>
      <c r="N130" s="31">
        <v>898991.7934</v>
      </c>
      <c r="O130" s="31">
        <v>22414.325809909482</v>
      </c>
      <c r="P130" s="31">
        <f>Q130/O130</f>
        <v>39.57822073630252</v>
      </c>
      <c r="Q130" s="31">
        <v>887119.1345600002</v>
      </c>
      <c r="R130" s="31">
        <v>16853.03106893107</v>
      </c>
      <c r="S130" s="31">
        <f>T130/R130</f>
        <v>37.00003009307634</v>
      </c>
      <c r="T130" s="31">
        <v>623562.6567100001</v>
      </c>
      <c r="U130" s="31">
        <v>18210.72160191273</v>
      </c>
      <c r="V130" s="6">
        <f>W130/U130</f>
        <v>30.612915753511153</v>
      </c>
      <c r="W130" s="31">
        <v>557483.28621</v>
      </c>
      <c r="X130" s="31">
        <f>14304.80104/0.8389</f>
        <v>17051.854857551556</v>
      </c>
      <c r="Y130" s="6">
        <f>Z130/X130</f>
        <v>26.733899551585584</v>
      </c>
      <c r="Z130" s="31">
        <v>455862.57493</v>
      </c>
      <c r="AA130" s="6">
        <f>12884.43557/0.8389</f>
        <v>15358.726391703422</v>
      </c>
      <c r="AB130" s="6">
        <f>AC130/AA130</f>
        <v>27.170715678965667</v>
      </c>
      <c r="AC130" s="6">
        <v>417307.58797999995</v>
      </c>
      <c r="AD130" s="6">
        <f>12930.047589/0.8456</f>
        <v>15290.973969962157</v>
      </c>
      <c r="AE130" s="6">
        <f>AF130/AD130</f>
        <v>26.418318486680395</v>
      </c>
      <c r="AF130" s="6">
        <v>403961.82031</v>
      </c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</row>
    <row r="131" spans="1:59" ht="15">
      <c r="A131" s="9" t="s">
        <v>31</v>
      </c>
      <c r="B131" s="9" t="s">
        <v>32</v>
      </c>
      <c r="C131" s="11">
        <f>SUM(C128:C130)</f>
        <v>17948.20203897767</v>
      </c>
      <c r="D131" s="11">
        <f>E131/C131</f>
        <v>46.43634999149326</v>
      </c>
      <c r="E131" s="11">
        <f>SUM(E128:E130)</f>
        <v>833448.9916000001</v>
      </c>
      <c r="F131" s="11">
        <f>SUM(F128:F130)</f>
        <v>20216.728864533794</v>
      </c>
      <c r="G131" s="11">
        <f>H131/F131</f>
        <v>44.96180599150363</v>
      </c>
      <c r="H131" s="11">
        <f>SUM(H128:H130)</f>
        <v>908980.64099</v>
      </c>
      <c r="I131" s="11">
        <f>SUM(I128:I130)</f>
        <v>23296.854219133165</v>
      </c>
      <c r="J131" s="11">
        <f>K131/I131</f>
        <v>41.17290183720307</v>
      </c>
      <c r="K131" s="11">
        <f>SUM(K128:K130)</f>
        <v>959199.09188</v>
      </c>
      <c r="L131" s="11">
        <f>SUM(L128:L130)</f>
        <v>25270.93022562874</v>
      </c>
      <c r="M131" s="11">
        <f>N131/L131</f>
        <v>38.792514308230594</v>
      </c>
      <c r="N131" s="11">
        <f>SUM(N128:N130)</f>
        <v>980322.92236</v>
      </c>
      <c r="O131" s="11">
        <f>SUM(O128:O130)</f>
        <v>25011.22650487954</v>
      </c>
      <c r="P131" s="11">
        <f>Q131/O131</f>
        <v>39.21966915851273</v>
      </c>
      <c r="Q131" s="11">
        <f>SUM(Q128:Q130)</f>
        <v>980932.0287700002</v>
      </c>
      <c r="R131" s="11">
        <f>SUM(R128:R130)</f>
        <v>19685.82108587718</v>
      </c>
      <c r="S131" s="11">
        <f>T131/R131</f>
        <v>36.47057760039623</v>
      </c>
      <c r="T131" s="11">
        <f>SUM(T128:T130)</f>
        <v>717953.2655400002</v>
      </c>
      <c r="U131" s="11">
        <f>SUM(U128:U130)</f>
        <v>20967.29918041572</v>
      </c>
      <c r="V131" s="11">
        <f>W131/U131</f>
        <v>30.202538433347435</v>
      </c>
      <c r="W131" s="11">
        <f>SUM(W128:W130)</f>
        <v>633265.65934</v>
      </c>
      <c r="X131" s="11">
        <f>SUM(X128:X130)</f>
        <v>19912.388505395866</v>
      </c>
      <c r="Y131" s="11">
        <f>Z131/X131</f>
        <v>26.45217929367276</v>
      </c>
      <c r="Z131" s="11">
        <f>SUM(Z128:Z130)</f>
        <v>526726.07091</v>
      </c>
      <c r="AA131" s="11">
        <f>SUM(AA128:AA130)</f>
        <v>18138.298797511805</v>
      </c>
      <c r="AB131" s="11">
        <f>AC131/AA131</f>
        <v>26.887016331261457</v>
      </c>
      <c r="AC131" s="11">
        <f>SUM(AC128:AC130)</f>
        <v>487684.73598999996</v>
      </c>
      <c r="AD131" s="11">
        <f>SUM(AD128:AD130)</f>
        <v>18255.71693649509</v>
      </c>
      <c r="AE131" s="11">
        <f>AF131/AD131</f>
        <v>26.041087210309893</v>
      </c>
      <c r="AF131" s="11">
        <f>SUM(AF128:AF130)</f>
        <v>475398.71683</v>
      </c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</row>
    <row r="132" spans="33:59" ht="14.25"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</row>
    <row r="133" spans="33:59" ht="14.25"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</row>
    <row r="134" spans="33:59" ht="14.25"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</row>
    <row r="135" spans="1:59" ht="15.75">
      <c r="A135" s="19" t="s">
        <v>51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3"/>
      <c r="AB135" s="3"/>
      <c r="AC135" s="3"/>
      <c r="AD135" s="3"/>
      <c r="AE135" s="3"/>
      <c r="AF135" s="3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</row>
    <row r="136" spans="1:59" s="27" customFormat="1" ht="15">
      <c r="A136" s="28"/>
      <c r="B136" s="28"/>
      <c r="C136" s="136">
        <f>C125</f>
        <v>2023</v>
      </c>
      <c r="D136" s="136"/>
      <c r="E136" s="136"/>
      <c r="F136" s="136">
        <f>F125</f>
        <v>2022</v>
      </c>
      <c r="G136" s="136"/>
      <c r="H136" s="136"/>
      <c r="I136" s="136">
        <f>I125</f>
        <v>2021</v>
      </c>
      <c r="J136" s="136"/>
      <c r="K136" s="136"/>
      <c r="L136" s="136">
        <f>L125</f>
        <v>2020</v>
      </c>
      <c r="M136" s="136"/>
      <c r="N136" s="136"/>
      <c r="O136" s="136" t="e">
        <f>O125</f>
        <v>#REF!</v>
      </c>
      <c r="P136" s="136"/>
      <c r="Q136" s="136"/>
      <c r="R136" s="136" t="e">
        <f>R125</f>
        <v>#REF!</v>
      </c>
      <c r="S136" s="136"/>
      <c r="T136" s="136"/>
      <c r="U136" s="136" t="e">
        <f>U125</f>
        <v>#REF!</v>
      </c>
      <c r="V136" s="136"/>
      <c r="W136" s="136"/>
      <c r="X136" s="136" t="e">
        <f>X125</f>
        <v>#REF!</v>
      </c>
      <c r="Y136" s="136"/>
      <c r="Z136" s="136"/>
      <c r="AA136" s="136" t="e">
        <f>AA125</f>
        <v>#REF!</v>
      </c>
      <c r="AB136" s="136"/>
      <c r="AC136" s="136"/>
      <c r="AD136" s="136" t="e">
        <f>AD125</f>
        <v>#REF!</v>
      </c>
      <c r="AE136" s="136"/>
      <c r="AF136" s="136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</row>
    <row r="137" spans="1:59" s="24" customFormat="1" ht="33.75" customHeight="1">
      <c r="A137" s="22"/>
      <c r="B137" s="22"/>
      <c r="C137" s="33" t="s">
        <v>27</v>
      </c>
      <c r="D137" s="33" t="s">
        <v>53</v>
      </c>
      <c r="E137" s="22" t="s">
        <v>26</v>
      </c>
      <c r="F137" s="33" t="s">
        <v>27</v>
      </c>
      <c r="G137" s="33" t="s">
        <v>53</v>
      </c>
      <c r="H137" s="22" t="s">
        <v>26</v>
      </c>
      <c r="I137" s="33" t="s">
        <v>27</v>
      </c>
      <c r="J137" s="33" t="s">
        <v>53</v>
      </c>
      <c r="K137" s="22" t="s">
        <v>26</v>
      </c>
      <c r="L137" s="33" t="s">
        <v>27</v>
      </c>
      <c r="M137" s="33" t="s">
        <v>53</v>
      </c>
      <c r="N137" s="22" t="s">
        <v>26</v>
      </c>
      <c r="O137" s="33" t="s">
        <v>27</v>
      </c>
      <c r="P137" s="33" t="s">
        <v>53</v>
      </c>
      <c r="Q137" s="22" t="s">
        <v>26</v>
      </c>
      <c r="R137" s="33" t="s">
        <v>27</v>
      </c>
      <c r="S137" s="33" t="s">
        <v>53</v>
      </c>
      <c r="T137" s="22" t="s">
        <v>26</v>
      </c>
      <c r="U137" s="33" t="s">
        <v>27</v>
      </c>
      <c r="V137" s="33" t="s">
        <v>53</v>
      </c>
      <c r="W137" s="22" t="s">
        <v>26</v>
      </c>
      <c r="X137" s="33" t="s">
        <v>27</v>
      </c>
      <c r="Y137" s="33" t="s">
        <v>53</v>
      </c>
      <c r="Z137" s="22" t="s">
        <v>26</v>
      </c>
      <c r="AA137" s="33" t="s">
        <v>27</v>
      </c>
      <c r="AB137" s="33" t="s">
        <v>53</v>
      </c>
      <c r="AC137" s="22" t="s">
        <v>26</v>
      </c>
      <c r="AD137" s="33" t="s">
        <v>27</v>
      </c>
      <c r="AE137" s="33" t="s">
        <v>53</v>
      </c>
      <c r="AF137" s="22" t="s">
        <v>26</v>
      </c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</row>
    <row r="138" spans="1:59" s="24" customFormat="1" ht="28.5">
      <c r="A138" s="22"/>
      <c r="B138" s="22"/>
      <c r="C138" s="33" t="s">
        <v>52</v>
      </c>
      <c r="D138" s="33" t="s">
        <v>19</v>
      </c>
      <c r="E138" s="22" t="s">
        <v>17</v>
      </c>
      <c r="F138" s="33" t="s">
        <v>52</v>
      </c>
      <c r="G138" s="33" t="s">
        <v>19</v>
      </c>
      <c r="H138" s="22" t="s">
        <v>17</v>
      </c>
      <c r="I138" s="33" t="s">
        <v>52</v>
      </c>
      <c r="J138" s="33" t="s">
        <v>19</v>
      </c>
      <c r="K138" s="22" t="s">
        <v>17</v>
      </c>
      <c r="L138" s="33" t="s">
        <v>52</v>
      </c>
      <c r="M138" s="33" t="s">
        <v>19</v>
      </c>
      <c r="N138" s="22" t="s">
        <v>17</v>
      </c>
      <c r="O138" s="33" t="s">
        <v>52</v>
      </c>
      <c r="P138" s="33" t="s">
        <v>19</v>
      </c>
      <c r="Q138" s="22" t="s">
        <v>17</v>
      </c>
      <c r="R138" s="33" t="s">
        <v>52</v>
      </c>
      <c r="S138" s="33" t="s">
        <v>19</v>
      </c>
      <c r="T138" s="22" t="s">
        <v>17</v>
      </c>
      <c r="U138" s="33" t="s">
        <v>52</v>
      </c>
      <c r="V138" s="33" t="s">
        <v>19</v>
      </c>
      <c r="W138" s="22" t="s">
        <v>17</v>
      </c>
      <c r="X138" s="33" t="s">
        <v>52</v>
      </c>
      <c r="Y138" s="33" t="s">
        <v>19</v>
      </c>
      <c r="Z138" s="22" t="s">
        <v>17</v>
      </c>
      <c r="AA138" s="33" t="s">
        <v>52</v>
      </c>
      <c r="AB138" s="33" t="s">
        <v>19</v>
      </c>
      <c r="AC138" s="22" t="s">
        <v>17</v>
      </c>
      <c r="AD138" s="33" t="s">
        <v>52</v>
      </c>
      <c r="AE138" s="33" t="s">
        <v>19</v>
      </c>
      <c r="AF138" s="22" t="s">
        <v>17</v>
      </c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</row>
    <row r="139" spans="1:59" ht="14.25">
      <c r="A139" s="4" t="s">
        <v>1</v>
      </c>
      <c r="B139" s="4" t="s">
        <v>11</v>
      </c>
      <c r="C139" s="102">
        <v>0</v>
      </c>
      <c r="D139" s="102"/>
      <c r="E139" s="102">
        <v>0</v>
      </c>
      <c r="F139" s="102">
        <v>0</v>
      </c>
      <c r="G139" s="102"/>
      <c r="H139" s="102">
        <v>0</v>
      </c>
      <c r="I139" s="102">
        <v>0</v>
      </c>
      <c r="J139" s="102"/>
      <c r="K139" s="102">
        <v>0</v>
      </c>
      <c r="L139" s="4">
        <v>0</v>
      </c>
      <c r="M139" s="4"/>
      <c r="N139" s="4">
        <v>0</v>
      </c>
      <c r="O139" s="4">
        <v>0</v>
      </c>
      <c r="P139" s="4"/>
      <c r="Q139" s="4">
        <v>0</v>
      </c>
      <c r="R139" s="4">
        <v>0</v>
      </c>
      <c r="S139" s="4"/>
      <c r="T139" s="4">
        <v>0</v>
      </c>
      <c r="U139" s="4">
        <v>0</v>
      </c>
      <c r="V139" s="4"/>
      <c r="W139" s="4">
        <v>0</v>
      </c>
      <c r="X139" s="4">
        <v>0</v>
      </c>
      <c r="Y139" s="4"/>
      <c r="Z139" s="4">
        <v>0</v>
      </c>
      <c r="AA139" s="6">
        <v>0</v>
      </c>
      <c r="AB139" s="6"/>
      <c r="AC139" s="6">
        <v>0</v>
      </c>
      <c r="AD139" s="6">
        <v>0</v>
      </c>
      <c r="AE139" s="6"/>
      <c r="AF139" s="6">
        <v>0</v>
      </c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</row>
    <row r="140" spans="1:59" ht="14.25">
      <c r="A140" s="4" t="s">
        <v>2</v>
      </c>
      <c r="B140" s="4" t="s">
        <v>12</v>
      </c>
      <c r="C140" s="102">
        <v>0</v>
      </c>
      <c r="D140" s="102"/>
      <c r="E140" s="102">
        <v>0</v>
      </c>
      <c r="F140" s="102">
        <v>0</v>
      </c>
      <c r="G140" s="102"/>
      <c r="H140" s="102">
        <v>0</v>
      </c>
      <c r="I140" s="102">
        <v>0</v>
      </c>
      <c r="J140" s="102"/>
      <c r="K140" s="102">
        <v>0</v>
      </c>
      <c r="L140" s="4">
        <v>0</v>
      </c>
      <c r="M140" s="4"/>
      <c r="N140" s="4">
        <v>0</v>
      </c>
      <c r="O140" s="4">
        <v>0</v>
      </c>
      <c r="P140" s="4"/>
      <c r="Q140" s="4">
        <v>0</v>
      </c>
      <c r="R140" s="4">
        <v>0</v>
      </c>
      <c r="S140" s="4"/>
      <c r="T140" s="4">
        <v>0</v>
      </c>
      <c r="U140" s="4">
        <v>0</v>
      </c>
      <c r="V140" s="4"/>
      <c r="W140" s="4">
        <v>0</v>
      </c>
      <c r="X140" s="4">
        <v>0</v>
      </c>
      <c r="Y140" s="4"/>
      <c r="Z140" s="4">
        <v>0</v>
      </c>
      <c r="AA140" s="5">
        <v>0</v>
      </c>
      <c r="AB140" s="6"/>
      <c r="AC140" s="6">
        <v>0</v>
      </c>
      <c r="AD140" s="5">
        <v>0</v>
      </c>
      <c r="AE140" s="6"/>
      <c r="AF140" s="6">
        <v>0</v>
      </c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</row>
    <row r="141" spans="1:59" ht="14.25">
      <c r="A141" s="56" t="s">
        <v>37</v>
      </c>
      <c r="B141" s="56" t="s">
        <v>38</v>
      </c>
      <c r="C141" s="31">
        <v>24.287163999999997</v>
      </c>
      <c r="D141" s="31">
        <f>E141/C141</f>
        <v>16693.067987682713</v>
      </c>
      <c r="E141" s="31">
        <v>405427.27988</v>
      </c>
      <c r="F141" s="64">
        <v>24.505114</v>
      </c>
      <c r="G141" s="64">
        <f>H141/F141</f>
        <v>23395.176614971064</v>
      </c>
      <c r="H141" s="64">
        <v>573301.47</v>
      </c>
      <c r="I141" s="64">
        <f>24.368371</f>
        <v>24.368371</v>
      </c>
      <c r="J141" s="64">
        <f>K141/I141</f>
        <v>19998.378226020934</v>
      </c>
      <c r="K141" s="64">
        <v>487327.90001</v>
      </c>
      <c r="L141" s="31">
        <v>25.21269</v>
      </c>
      <c r="M141" s="31">
        <f>N141/L141</f>
        <v>12819.997350937168</v>
      </c>
      <c r="N141" s="31">
        <v>323226.61901</v>
      </c>
      <c r="O141" s="31">
        <v>23.160155999999997</v>
      </c>
      <c r="P141" s="31">
        <f>Q141/O141</f>
        <v>20808.753928514132</v>
      </c>
      <c r="Q141" s="31">
        <v>481933.98715000006</v>
      </c>
      <c r="R141" s="31">
        <v>25.041005000000006</v>
      </c>
      <c r="S141" s="6">
        <v>17110.360824176183</v>
      </c>
      <c r="T141" s="6">
        <v>428460.63095</v>
      </c>
      <c r="U141" s="31">
        <f>24344.812/1000</f>
        <v>24.344812</v>
      </c>
      <c r="V141" s="6">
        <f>W141/U141</f>
        <v>12751.950935994084</v>
      </c>
      <c r="W141" s="6">
        <v>310443.84817</v>
      </c>
      <c r="X141" s="8">
        <v>20.217292</v>
      </c>
      <c r="Y141" s="6">
        <f>Z141/X141</f>
        <v>9543.845677254896</v>
      </c>
      <c r="Z141" s="6">
        <v>192950.71486</v>
      </c>
      <c r="AA141" s="6">
        <v>19.331761</v>
      </c>
      <c r="AB141" s="6">
        <f>AC141/AA141</f>
        <v>11496.798378068092</v>
      </c>
      <c r="AC141" s="6">
        <v>222253.35851</v>
      </c>
      <c r="AD141" s="6">
        <v>15.670727</v>
      </c>
      <c r="AE141" s="6">
        <f>AF141/AD141</f>
        <v>11818.31319248941</v>
      </c>
      <c r="AF141" s="6">
        <v>185201.55964</v>
      </c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</row>
    <row r="142" spans="1:59" ht="15">
      <c r="A142" s="9" t="s">
        <v>31</v>
      </c>
      <c r="B142" s="9" t="s">
        <v>32</v>
      </c>
      <c r="C142" s="11">
        <f>SUM(C139:C141)</f>
        <v>24.287163999999997</v>
      </c>
      <c r="D142" s="11">
        <f>E142/C142</f>
        <v>16693.067987682713</v>
      </c>
      <c r="E142" s="11">
        <f>SUM(E139:E141)</f>
        <v>405427.27988</v>
      </c>
      <c r="F142" s="11">
        <f>SUM(F139:F141)</f>
        <v>24.505114</v>
      </c>
      <c r="G142" s="11">
        <f>H142/F142</f>
        <v>23395.176614971064</v>
      </c>
      <c r="H142" s="11">
        <f>SUM(H139:H141)</f>
        <v>573301.47</v>
      </c>
      <c r="I142" s="11">
        <f>SUM(I139:I141)</f>
        <v>24.368371</v>
      </c>
      <c r="J142" s="11">
        <f>K142/I142</f>
        <v>19998.378226020934</v>
      </c>
      <c r="K142" s="11">
        <f>SUM(K139:K141)</f>
        <v>487327.90001</v>
      </c>
      <c r="L142" s="11">
        <f>SUM(L139:L141)</f>
        <v>25.21269</v>
      </c>
      <c r="M142" s="11">
        <f>N142/L142</f>
        <v>12819.997350937168</v>
      </c>
      <c r="N142" s="11">
        <f>SUM(N139:N141)</f>
        <v>323226.61901</v>
      </c>
      <c r="O142" s="11">
        <f>SUM(O139:O141)</f>
        <v>23.160155999999997</v>
      </c>
      <c r="P142" s="11">
        <f>Q142/O142</f>
        <v>20808.753928514132</v>
      </c>
      <c r="Q142" s="11">
        <f>SUM(Q139:Q141)</f>
        <v>481933.98715000006</v>
      </c>
      <c r="R142" s="11">
        <f>SUM(R139:R141)</f>
        <v>25.041005000000006</v>
      </c>
      <c r="S142" s="11">
        <f>T142/R142</f>
        <v>17110.360824176183</v>
      </c>
      <c r="T142" s="11">
        <f>SUM(T139:T141)</f>
        <v>428460.63095</v>
      </c>
      <c r="U142" s="11">
        <f>SUM(U139:U141)</f>
        <v>24.344812</v>
      </c>
      <c r="V142" s="11">
        <f>W142/U142</f>
        <v>12751.950935994084</v>
      </c>
      <c r="W142" s="11">
        <f>SUM(W139:W141)</f>
        <v>310443.84817</v>
      </c>
      <c r="X142" s="11">
        <f>SUM(X139:X141)</f>
        <v>20.217292</v>
      </c>
      <c r="Y142" s="11">
        <f>Z142/X142</f>
        <v>9543.845677254896</v>
      </c>
      <c r="Z142" s="11">
        <f>SUM(Z139:Z141)</f>
        <v>192950.71486</v>
      </c>
      <c r="AA142" s="11">
        <f>SUM(AA139:AA141)</f>
        <v>19.331761</v>
      </c>
      <c r="AB142" s="11">
        <f>AC142/AA142</f>
        <v>11496.798378068092</v>
      </c>
      <c r="AC142" s="11">
        <f>SUM(AC139:AC141)</f>
        <v>222253.35851</v>
      </c>
      <c r="AD142" s="11">
        <f>SUM(AD139:AD141)</f>
        <v>15.670727</v>
      </c>
      <c r="AE142" s="11">
        <f>AF142/AD142</f>
        <v>11818.31319248941</v>
      </c>
      <c r="AF142" s="11">
        <f>SUM(AF139:AF141)</f>
        <v>185201.55964</v>
      </c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</row>
    <row r="146" ht="14.25" collapsed="1"/>
  </sheetData>
  <sheetProtection/>
  <mergeCells count="147">
    <mergeCell ref="F55:H55"/>
    <mergeCell ref="F76:H76"/>
    <mergeCell ref="F96:H96"/>
    <mergeCell ref="F114:H114"/>
    <mergeCell ref="F125:H125"/>
    <mergeCell ref="F136:H136"/>
    <mergeCell ref="F5:H5"/>
    <mergeCell ref="F15:H15"/>
    <mergeCell ref="F26:H26"/>
    <mergeCell ref="F35:H35"/>
    <mergeCell ref="R5:T5"/>
    <mergeCell ref="R15:T15"/>
    <mergeCell ref="R26:T26"/>
    <mergeCell ref="R35:T35"/>
    <mergeCell ref="R55:T55"/>
    <mergeCell ref="R76:T76"/>
    <mergeCell ref="AA55:AC55"/>
    <mergeCell ref="R114:T114"/>
    <mergeCell ref="R125:T125"/>
    <mergeCell ref="R136:T136"/>
    <mergeCell ref="AA114:AC114"/>
    <mergeCell ref="U5:W5"/>
    <mergeCell ref="U15:W15"/>
    <mergeCell ref="U26:W26"/>
    <mergeCell ref="U35:W35"/>
    <mergeCell ref="U55:W55"/>
    <mergeCell ref="U76:W76"/>
    <mergeCell ref="AD35:AF35"/>
    <mergeCell ref="AD55:AF55"/>
    <mergeCell ref="U125:W125"/>
    <mergeCell ref="U136:W136"/>
    <mergeCell ref="X76:Z76"/>
    <mergeCell ref="AA76:AC76"/>
    <mergeCell ref="AD76:AF76"/>
    <mergeCell ref="AD136:AF136"/>
    <mergeCell ref="AD5:AF5"/>
    <mergeCell ref="AG26:AI26"/>
    <mergeCell ref="AG5:AI5"/>
    <mergeCell ref="AG15:AI15"/>
    <mergeCell ref="AG35:AI35"/>
    <mergeCell ref="AG55:AI55"/>
    <mergeCell ref="AD15:AF15"/>
    <mergeCell ref="AD26:AF26"/>
    <mergeCell ref="AJ5:AL5"/>
    <mergeCell ref="AJ15:AL15"/>
    <mergeCell ref="AJ35:AL35"/>
    <mergeCell ref="AM35:AO35"/>
    <mergeCell ref="BE5:BG5"/>
    <mergeCell ref="AY15:BA15"/>
    <mergeCell ref="BB15:BD15"/>
    <mergeCell ref="AM5:AO5"/>
    <mergeCell ref="AM15:AO15"/>
    <mergeCell ref="AY5:BA5"/>
    <mergeCell ref="BB5:BD5"/>
    <mergeCell ref="AP5:AR5"/>
    <mergeCell ref="AS5:AU5"/>
    <mergeCell ref="AS15:AU15"/>
    <mergeCell ref="AV5:AX5"/>
    <mergeCell ref="AP15:AR15"/>
    <mergeCell ref="BE15:BG15"/>
    <mergeCell ref="AV15:AX15"/>
    <mergeCell ref="BB76:BD76"/>
    <mergeCell ref="BE76:BG76"/>
    <mergeCell ref="BE55:BG55"/>
    <mergeCell ref="AY35:BA35"/>
    <mergeCell ref="BB35:BD35"/>
    <mergeCell ref="BE35:BG35"/>
    <mergeCell ref="AS35:AU35"/>
    <mergeCell ref="AS55:AU55"/>
    <mergeCell ref="AV55:AX55"/>
    <mergeCell ref="AV76:AX76"/>
    <mergeCell ref="AY55:BA55"/>
    <mergeCell ref="BB55:BD55"/>
    <mergeCell ref="AY76:BA76"/>
    <mergeCell ref="AJ26:AL26"/>
    <mergeCell ref="AM26:AO26"/>
    <mergeCell ref="AP26:AR26"/>
    <mergeCell ref="AP55:AR55"/>
    <mergeCell ref="AP35:AR35"/>
    <mergeCell ref="AP76:AR76"/>
    <mergeCell ref="AS76:AU76"/>
    <mergeCell ref="AV35:AX35"/>
    <mergeCell ref="AJ55:AL55"/>
    <mergeCell ref="AJ76:AL76"/>
    <mergeCell ref="AM76:AO76"/>
    <mergeCell ref="AM55:AO55"/>
    <mergeCell ref="X5:Z5"/>
    <mergeCell ref="X15:Z15"/>
    <mergeCell ref="X26:Z26"/>
    <mergeCell ref="X35:Z35"/>
    <mergeCell ref="X55:Z55"/>
    <mergeCell ref="AG76:AI76"/>
    <mergeCell ref="AA5:AC5"/>
    <mergeCell ref="AA15:AC15"/>
    <mergeCell ref="AA26:AC26"/>
    <mergeCell ref="AA35:AC35"/>
    <mergeCell ref="X114:Z114"/>
    <mergeCell ref="X125:Z125"/>
    <mergeCell ref="AD114:AF114"/>
    <mergeCell ref="R96:T96"/>
    <mergeCell ref="U96:W96"/>
    <mergeCell ref="X96:Z96"/>
    <mergeCell ref="X136:Z136"/>
    <mergeCell ref="AA136:AC136"/>
    <mergeCell ref="AD125:AF125"/>
    <mergeCell ref="AA125:AC125"/>
    <mergeCell ref="U114:W114"/>
    <mergeCell ref="O125:Q125"/>
    <mergeCell ref="O136:Q136"/>
    <mergeCell ref="L125:N125"/>
    <mergeCell ref="L136:N136"/>
    <mergeCell ref="L76:N76"/>
    <mergeCell ref="L96:N96"/>
    <mergeCell ref="O96:Q96"/>
    <mergeCell ref="O114:Q114"/>
    <mergeCell ref="L114:N114"/>
    <mergeCell ref="O55:Q55"/>
    <mergeCell ref="O76:Q76"/>
    <mergeCell ref="L5:N5"/>
    <mergeCell ref="L15:N15"/>
    <mergeCell ref="L26:N26"/>
    <mergeCell ref="L35:N35"/>
    <mergeCell ref="L55:N55"/>
    <mergeCell ref="O5:Q5"/>
    <mergeCell ref="O15:Q15"/>
    <mergeCell ref="O26:Q26"/>
    <mergeCell ref="O35:Q35"/>
    <mergeCell ref="I5:K5"/>
    <mergeCell ref="I15:K15"/>
    <mergeCell ref="I26:K26"/>
    <mergeCell ref="I35:K35"/>
    <mergeCell ref="I55:K55"/>
    <mergeCell ref="I76:K76"/>
    <mergeCell ref="I96:K96"/>
    <mergeCell ref="I114:K114"/>
    <mergeCell ref="I125:K125"/>
    <mergeCell ref="I136:K136"/>
    <mergeCell ref="C5:E5"/>
    <mergeCell ref="C15:E15"/>
    <mergeCell ref="C26:E26"/>
    <mergeCell ref="C35:E35"/>
    <mergeCell ref="C55:E55"/>
    <mergeCell ref="C76:E76"/>
    <mergeCell ref="C96:E96"/>
    <mergeCell ref="C114:E114"/>
    <mergeCell ref="C125:E125"/>
    <mergeCell ref="C136:E136"/>
  </mergeCells>
  <printOptions/>
  <pageMargins left="0.1968503937007874" right="0.2362204724409449" top="0.35433070866141736" bottom="0.35433070866141736" header="0.31496062992125984" footer="0.31496062992125984"/>
  <pageSetup fitToHeight="1" fitToWidth="1" horizontalDpi="600" verticalDpi="600" orientation="portrait" paperSize="8" scale="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9.140625" style="85" customWidth="1"/>
    <col min="2" max="9" width="10.8515625" style="85" customWidth="1"/>
    <col min="10" max="10" width="12.28125" style="85" bestFit="1" customWidth="1"/>
    <col min="11" max="11" width="16.00390625" style="85" bestFit="1" customWidth="1"/>
    <col min="12" max="12" width="16.421875" style="85" customWidth="1"/>
    <col min="13" max="16" width="16.00390625" style="85" bestFit="1" customWidth="1"/>
    <col min="17" max="16384" width="9.140625" style="85" customWidth="1"/>
  </cols>
  <sheetData>
    <row r="1" ht="15">
      <c r="A1" s="86" t="s">
        <v>87</v>
      </c>
    </row>
    <row r="2" spans="1:16" ht="15">
      <c r="A2" s="112" t="s">
        <v>75</v>
      </c>
      <c r="B2" s="113" t="s">
        <v>81</v>
      </c>
      <c r="C2" s="123">
        <v>2023</v>
      </c>
      <c r="D2" s="123">
        <v>2022</v>
      </c>
      <c r="E2" s="114">
        <v>2021</v>
      </c>
      <c r="F2" s="114">
        <v>2020</v>
      </c>
      <c r="G2" s="114">
        <v>2019</v>
      </c>
      <c r="H2" s="114">
        <v>2018</v>
      </c>
      <c r="I2" s="115" t="s">
        <v>81</v>
      </c>
      <c r="J2" s="113" t="s">
        <v>84</v>
      </c>
      <c r="K2" s="123">
        <v>2023</v>
      </c>
      <c r="L2" s="123">
        <v>2022</v>
      </c>
      <c r="M2" s="114">
        <v>2021</v>
      </c>
      <c r="N2" s="114">
        <v>2020</v>
      </c>
      <c r="O2" s="114">
        <v>2019</v>
      </c>
      <c r="P2" s="116">
        <v>2018</v>
      </c>
    </row>
    <row r="3" spans="1:16" ht="14.25">
      <c r="A3" s="87" t="s">
        <v>83</v>
      </c>
      <c r="B3" s="89" t="s">
        <v>76</v>
      </c>
      <c r="C3" s="118">
        <f>Потребление!C21</f>
        <v>1831.2497478999999</v>
      </c>
      <c r="D3" s="118">
        <f>Потребление!F21</f>
        <v>1828.2667629999999</v>
      </c>
      <c r="E3" s="91">
        <f>Потребление!I21</f>
        <v>1779.179369</v>
      </c>
      <c r="F3" s="91">
        <f>Потребление!L21</f>
        <v>1596.935809</v>
      </c>
      <c r="G3" s="91">
        <f>Потребление!O21</f>
        <v>1488.767761</v>
      </c>
      <c r="H3" s="91">
        <f>Потребление!R21</f>
        <v>1436.507101</v>
      </c>
      <c r="I3" s="94" t="s">
        <v>86</v>
      </c>
      <c r="J3" s="131">
        <f>1000000*3412.14*1055.06/1000000000</f>
        <v>3600.0124284</v>
      </c>
      <c r="K3" s="117">
        <f aca="true" t="shared" si="0" ref="K3:P3">C3*$J$3</f>
        <v>6592521.8519443665</v>
      </c>
      <c r="L3" s="117">
        <f t="shared" si="0"/>
        <v>6581783.069230637</v>
      </c>
      <c r="M3" s="91">
        <f t="shared" si="0"/>
        <v>6405067.840752869</v>
      </c>
      <c r="N3" s="91">
        <f t="shared" si="0"/>
        <v>5748988.759757008</v>
      </c>
      <c r="O3" s="91">
        <f t="shared" si="0"/>
        <v>5359582.442601241</v>
      </c>
      <c r="P3" s="93">
        <f t="shared" si="0"/>
        <v>5171443.417084853</v>
      </c>
    </row>
    <row r="4" spans="1:16" ht="14.25">
      <c r="A4" s="87" t="s">
        <v>89</v>
      </c>
      <c r="B4" s="89" t="s">
        <v>77</v>
      </c>
      <c r="C4" s="118">
        <f>Потребление!C10</f>
        <v>3692.91838</v>
      </c>
      <c r="D4" s="118">
        <f>Потребление!F10</f>
        <v>3461.5920029999997</v>
      </c>
      <c r="E4" s="91">
        <f>Потребление!I10</f>
        <v>3582.104369</v>
      </c>
      <c r="F4" s="91">
        <f>Потребление!L10</f>
        <v>3391.8348060000003</v>
      </c>
      <c r="G4" s="91">
        <f>Потребление!O10</f>
        <v>3349.348838</v>
      </c>
      <c r="H4" s="91">
        <f>Потребление!R10</f>
        <v>3359.742862</v>
      </c>
      <c r="I4" s="94" t="s">
        <v>86</v>
      </c>
      <c r="J4" s="131">
        <f>1000*32.35*1000000*1055.06/1000000000</f>
        <v>34131.191</v>
      </c>
      <c r="K4" s="117">
        <f aca="true" t="shared" si="1" ref="K4:P4">C4*$J$4</f>
        <v>126043702.57519057</v>
      </c>
      <c r="L4" s="117">
        <f t="shared" si="1"/>
        <v>118148257.81846556</v>
      </c>
      <c r="M4" s="117">
        <f t="shared" si="1"/>
        <v>122261488.40027349</v>
      </c>
      <c r="N4" s="91">
        <f t="shared" si="1"/>
        <v>115767361.60403395</v>
      </c>
      <c r="O4" s="91">
        <f t="shared" si="1"/>
        <v>114317264.91540605</v>
      </c>
      <c r="P4" s="93">
        <f t="shared" si="1"/>
        <v>114672025.33380865</v>
      </c>
    </row>
    <row r="5" spans="1:16" ht="14.25">
      <c r="A5" s="87" t="s">
        <v>82</v>
      </c>
      <c r="B5" s="89" t="s">
        <v>78</v>
      </c>
      <c r="C5" s="118">
        <f>Потребление!C30</f>
        <v>1986.788</v>
      </c>
      <c r="D5" s="118">
        <f>Потребление!F30</f>
        <v>2116.685</v>
      </c>
      <c r="E5" s="91">
        <f>Потребление!I30</f>
        <v>2065.758</v>
      </c>
      <c r="F5" s="91">
        <f>Потребление!L30</f>
        <v>1482.867</v>
      </c>
      <c r="G5" s="91">
        <f>Потребление!O30</f>
        <v>1372.968</v>
      </c>
      <c r="H5" s="91">
        <f>Потребление!R30</f>
        <v>1405.596</v>
      </c>
      <c r="I5" s="94" t="s">
        <v>86</v>
      </c>
      <c r="J5" s="131">
        <f>1000*1000000000*4.1868/1000000000</f>
        <v>4186.8</v>
      </c>
      <c r="K5" s="117">
        <f aca="true" t="shared" si="2" ref="K5:P5">C5*$J$5</f>
        <v>8318283.998400001</v>
      </c>
      <c r="L5" s="117">
        <f t="shared" si="2"/>
        <v>8862136.758</v>
      </c>
      <c r="M5" s="91">
        <f t="shared" si="2"/>
        <v>8648915.5944</v>
      </c>
      <c r="N5" s="91">
        <f t="shared" si="2"/>
        <v>6208467.555600001</v>
      </c>
      <c r="O5" s="91">
        <f t="shared" si="2"/>
        <v>5748342.4224000005</v>
      </c>
      <c r="P5" s="93">
        <f t="shared" si="2"/>
        <v>5884949.3328</v>
      </c>
    </row>
    <row r="6" spans="1:16" ht="14.25">
      <c r="A6" s="87" t="s">
        <v>73</v>
      </c>
      <c r="B6" s="89" t="s">
        <v>79</v>
      </c>
      <c r="C6" s="118">
        <f>Потребление!C120</f>
        <v>678.4691768357951</v>
      </c>
      <c r="D6" s="118">
        <f>Потребление!F120</f>
        <v>671.40766707483</v>
      </c>
      <c r="E6" s="91">
        <f>Потребление!I120</f>
        <v>675.673051768707</v>
      </c>
      <c r="F6" s="91">
        <f>Потребление!L120</f>
        <v>570.168055510204</v>
      </c>
      <c r="G6" s="91">
        <f>Потребление!O120</f>
        <v>745.6671857140793</v>
      </c>
      <c r="H6" s="91">
        <f>Потребление!R120</f>
        <v>759.8202354683883</v>
      </c>
      <c r="I6" s="94" t="s">
        <v>86</v>
      </c>
      <c r="J6" s="131">
        <f>1000*1000000*44/1000000000</f>
        <v>44</v>
      </c>
      <c r="K6" s="117">
        <f aca="true" t="shared" si="3" ref="K6:P6">C6*$J$6</f>
        <v>29852.643780774986</v>
      </c>
      <c r="L6" s="117">
        <f t="shared" si="3"/>
        <v>29541.93735129252</v>
      </c>
      <c r="M6" s="91">
        <f t="shared" si="3"/>
        <v>29729.614277823108</v>
      </c>
      <c r="N6" s="91">
        <f t="shared" si="3"/>
        <v>25087.394442448975</v>
      </c>
      <c r="O6" s="96">
        <f t="shared" si="3"/>
        <v>32809.35617141949</v>
      </c>
      <c r="P6" s="97">
        <f t="shared" si="3"/>
        <v>33432.09036060909</v>
      </c>
    </row>
    <row r="7" spans="1:16" ht="14.25">
      <c r="A7" s="87" t="s">
        <v>74</v>
      </c>
      <c r="B7" s="89" t="s">
        <v>79</v>
      </c>
      <c r="C7" s="118">
        <f>Потребление!C131</f>
        <v>17948.20203897767</v>
      </c>
      <c r="D7" s="118">
        <f>Потребление!F131</f>
        <v>20216.728864533794</v>
      </c>
      <c r="E7" s="91">
        <f>Потребление!I131</f>
        <v>23296.854219133165</v>
      </c>
      <c r="F7" s="91">
        <f>Потребление!L131</f>
        <v>25270.93022562874</v>
      </c>
      <c r="G7" s="91">
        <f>Потребление!O131</f>
        <v>25011.22650487954</v>
      </c>
      <c r="H7" s="91">
        <f>Потребление!R131</f>
        <v>19685.82108587718</v>
      </c>
      <c r="I7" s="94" t="s">
        <v>86</v>
      </c>
      <c r="J7" s="131">
        <f>1000*1000000*43.12/1000000000</f>
        <v>43.12</v>
      </c>
      <c r="K7" s="117">
        <f aca="true" t="shared" si="4" ref="K7:P7">C7*$J$7</f>
        <v>773926.471920717</v>
      </c>
      <c r="L7" s="117">
        <f t="shared" si="4"/>
        <v>871745.3486386972</v>
      </c>
      <c r="M7" s="91">
        <f t="shared" si="4"/>
        <v>1004560.353929022</v>
      </c>
      <c r="N7" s="91">
        <f t="shared" si="4"/>
        <v>1089682.5113291112</v>
      </c>
      <c r="O7" s="91">
        <f t="shared" si="4"/>
        <v>1078484.0868904057</v>
      </c>
      <c r="P7" s="93">
        <f t="shared" si="4"/>
        <v>848852.605223024</v>
      </c>
    </row>
    <row r="8" spans="1:16" ht="14.25">
      <c r="A8" s="88" t="s">
        <v>51</v>
      </c>
      <c r="B8" s="90" t="s">
        <v>80</v>
      </c>
      <c r="C8" s="119">
        <f>Потребление!C142</f>
        <v>24.287163999999997</v>
      </c>
      <c r="D8" s="119">
        <f>Потребление!F142</f>
        <v>24.505114</v>
      </c>
      <c r="E8" s="92">
        <f>Потребление!I142</f>
        <v>24.368371</v>
      </c>
      <c r="F8" s="92">
        <f>Потребление!L142</f>
        <v>25.21269</v>
      </c>
      <c r="G8" s="92">
        <f>Потребление!O142</f>
        <v>23.160155999999997</v>
      </c>
      <c r="H8" s="92">
        <f>Потребление!R142</f>
        <v>25.041005000000006</v>
      </c>
      <c r="I8" s="95" t="s">
        <v>86</v>
      </c>
      <c r="J8" s="132">
        <f>1000*1000000000*47.14/1000000000</f>
        <v>47140</v>
      </c>
      <c r="K8" s="117">
        <f aca="true" t="shared" si="5" ref="K8:P8">C8*$J$8</f>
        <v>1144896.9109599998</v>
      </c>
      <c r="L8" s="117">
        <f t="shared" si="5"/>
        <v>1155171.07396</v>
      </c>
      <c r="M8" s="91">
        <f t="shared" si="5"/>
        <v>1148725.00894</v>
      </c>
      <c r="N8" s="91">
        <f t="shared" si="5"/>
        <v>1188526.2066</v>
      </c>
      <c r="O8" s="91">
        <f t="shared" si="5"/>
        <v>1091769.75384</v>
      </c>
      <c r="P8" s="93">
        <f t="shared" si="5"/>
        <v>1180432.9757000003</v>
      </c>
    </row>
    <row r="9" spans="1:16" ht="15">
      <c r="A9" s="104" t="s">
        <v>85</v>
      </c>
      <c r="B9" s="105"/>
      <c r="C9" s="105"/>
      <c r="D9" s="106"/>
      <c r="E9" s="106"/>
      <c r="F9" s="106"/>
      <c r="G9" s="106"/>
      <c r="H9" s="107"/>
      <c r="I9" s="108" t="s">
        <v>86</v>
      </c>
      <c r="J9" s="133"/>
      <c r="K9" s="124">
        <f aca="true" t="shared" si="6" ref="K9:P9">SUM(K3:K8)</f>
        <v>142903184.45219642</v>
      </c>
      <c r="L9" s="124">
        <f t="shared" si="6"/>
        <v>135648636.00564617</v>
      </c>
      <c r="M9" s="109">
        <f t="shared" si="6"/>
        <v>139498486.8125732</v>
      </c>
      <c r="N9" s="110">
        <f t="shared" si="6"/>
        <v>130028114.03176253</v>
      </c>
      <c r="O9" s="110">
        <f t="shared" si="6"/>
        <v>127628252.9773091</v>
      </c>
      <c r="P9" s="111">
        <f t="shared" si="6"/>
        <v>127791135.75497715</v>
      </c>
    </row>
    <row r="10" spans="11:14" ht="14.25">
      <c r="K10" s="127"/>
      <c r="L10" s="122"/>
      <c r="M10" s="122"/>
      <c r="N10" s="122"/>
    </row>
    <row r="11" ht="14.25"/>
    <row r="12" ht="14.25"/>
    <row r="13" ht="15">
      <c r="A13" s="86" t="s">
        <v>72</v>
      </c>
    </row>
    <row r="14" spans="1:16" ht="15">
      <c r="A14" s="112" t="s">
        <v>75</v>
      </c>
      <c r="B14" s="113" t="s">
        <v>81</v>
      </c>
      <c r="C14" s="123">
        <v>2023</v>
      </c>
      <c r="D14" s="123">
        <v>2022</v>
      </c>
      <c r="E14" s="114">
        <v>2021</v>
      </c>
      <c r="F14" s="114">
        <v>2020</v>
      </c>
      <c r="G14" s="114">
        <v>2019</v>
      </c>
      <c r="H14" s="114">
        <v>2018</v>
      </c>
      <c r="I14" s="115" t="s">
        <v>81</v>
      </c>
      <c r="J14" s="113" t="s">
        <v>84</v>
      </c>
      <c r="K14" s="123">
        <v>2023</v>
      </c>
      <c r="L14" s="123">
        <v>2022</v>
      </c>
      <c r="M14" s="114">
        <v>2021</v>
      </c>
      <c r="N14" s="114">
        <v>2020</v>
      </c>
      <c r="O14" s="114">
        <v>2019</v>
      </c>
      <c r="P14" s="116">
        <v>2018</v>
      </c>
    </row>
    <row r="15" spans="1:16" ht="14.25">
      <c r="A15" s="87" t="s">
        <v>83</v>
      </c>
      <c r="B15" s="89" t="s">
        <v>76</v>
      </c>
      <c r="C15" s="125">
        <f>C3</f>
        <v>1831.2497478999999</v>
      </c>
      <c r="D15" s="125">
        <f>D3</f>
        <v>1828.2667629999999</v>
      </c>
      <c r="E15" s="125">
        <f>E3</f>
        <v>1779.179369</v>
      </c>
      <c r="F15" s="99">
        <f>F3</f>
        <v>1596.935809</v>
      </c>
      <c r="G15" s="98">
        <f aca="true" t="shared" si="7" ref="G15:P15">G3</f>
        <v>1488.767761</v>
      </c>
      <c r="H15" s="98">
        <f t="shared" si="7"/>
        <v>1436.507101</v>
      </c>
      <c r="I15" s="94" t="str">
        <f t="shared" si="7"/>
        <v>ГДж</v>
      </c>
      <c r="J15" s="131">
        <f t="shared" si="7"/>
        <v>3600.0124284</v>
      </c>
      <c r="K15" s="117">
        <f>K3</f>
        <v>6592521.8519443665</v>
      </c>
      <c r="L15" s="117">
        <f>L3</f>
        <v>6581783.069230637</v>
      </c>
      <c r="M15" s="91">
        <f>M3</f>
        <v>6405067.840752869</v>
      </c>
      <c r="N15" s="91">
        <f t="shared" si="7"/>
        <v>5748988.759757008</v>
      </c>
      <c r="O15" s="91">
        <f t="shared" si="7"/>
        <v>5359582.442601241</v>
      </c>
      <c r="P15" s="93">
        <f t="shared" si="7"/>
        <v>5171443.417084853</v>
      </c>
    </row>
    <row r="16" spans="1:16" ht="14.25">
      <c r="A16" s="87" t="s">
        <v>88</v>
      </c>
      <c r="B16" s="89" t="s">
        <v>77</v>
      </c>
      <c r="C16" s="130">
        <f>365.741+168.113</f>
        <v>533.854</v>
      </c>
      <c r="D16" s="130">
        <f>297.437+183.302019</f>
        <v>480.739019</v>
      </c>
      <c r="E16" s="128">
        <f>285.575925+190.643023</f>
        <v>476.21894799999995</v>
      </c>
      <c r="F16" s="129">
        <v>474.766617</v>
      </c>
      <c r="G16" s="129">
        <v>527.422703</v>
      </c>
      <c r="H16" s="129">
        <v>469.941549</v>
      </c>
      <c r="I16" s="94" t="str">
        <f>I4</f>
        <v>ГДж</v>
      </c>
      <c r="J16" s="131">
        <f>J4</f>
        <v>34131.191</v>
      </c>
      <c r="K16" s="117">
        <f aca="true" t="shared" si="8" ref="K16:P16">C16*$J$16</f>
        <v>18221072.840114</v>
      </c>
      <c r="L16" s="117">
        <f t="shared" si="8"/>
        <v>16408195.278641628</v>
      </c>
      <c r="M16" s="91">
        <f t="shared" si="8"/>
        <v>16253919.872007066</v>
      </c>
      <c r="N16" s="91">
        <f t="shared" si="8"/>
        <v>16204350.085250847</v>
      </c>
      <c r="O16" s="91">
        <f t="shared" si="8"/>
        <v>18001565.013829272</v>
      </c>
      <c r="P16" s="93">
        <f t="shared" si="8"/>
        <v>16039664.767754858</v>
      </c>
    </row>
    <row r="17" spans="1:16" ht="14.25">
      <c r="A17" s="87" t="s">
        <v>82</v>
      </c>
      <c r="B17" s="89" t="s">
        <v>78</v>
      </c>
      <c r="C17" s="117">
        <f aca="true" t="shared" si="9" ref="C17:D20">C5</f>
        <v>1986.788</v>
      </c>
      <c r="D17" s="117">
        <f t="shared" si="9"/>
        <v>2116.685</v>
      </c>
      <c r="E17" s="91">
        <f aca="true" t="shared" si="10" ref="E17:F20">E5</f>
        <v>2065.758</v>
      </c>
      <c r="F17" s="91">
        <f t="shared" si="10"/>
        <v>1482.867</v>
      </c>
      <c r="G17" s="91">
        <f aca="true" t="shared" si="11" ref="G17:P17">G5</f>
        <v>1372.968</v>
      </c>
      <c r="H17" s="91">
        <f t="shared" si="11"/>
        <v>1405.596</v>
      </c>
      <c r="I17" s="94" t="str">
        <f t="shared" si="11"/>
        <v>ГДж</v>
      </c>
      <c r="J17" s="131">
        <f t="shared" si="11"/>
        <v>4186.8</v>
      </c>
      <c r="K17" s="117">
        <f t="shared" si="11"/>
        <v>8318283.998400001</v>
      </c>
      <c r="L17" s="117">
        <f aca="true" t="shared" si="12" ref="L17:M20">L5</f>
        <v>8862136.758</v>
      </c>
      <c r="M17" s="91">
        <f t="shared" si="12"/>
        <v>8648915.5944</v>
      </c>
      <c r="N17" s="91">
        <f t="shared" si="11"/>
        <v>6208467.555600001</v>
      </c>
      <c r="O17" s="91">
        <f t="shared" si="11"/>
        <v>5748342.4224000005</v>
      </c>
      <c r="P17" s="93">
        <f t="shared" si="11"/>
        <v>5884949.3328</v>
      </c>
    </row>
    <row r="18" spans="1:16" ht="14.25">
      <c r="A18" s="87" t="s">
        <v>73</v>
      </c>
      <c r="B18" s="89" t="s">
        <v>79</v>
      </c>
      <c r="C18" s="117">
        <f t="shared" si="9"/>
        <v>678.4691768357951</v>
      </c>
      <c r="D18" s="117">
        <f t="shared" si="9"/>
        <v>671.40766707483</v>
      </c>
      <c r="E18" s="91">
        <f t="shared" si="10"/>
        <v>675.673051768707</v>
      </c>
      <c r="F18" s="91">
        <f t="shared" si="10"/>
        <v>570.168055510204</v>
      </c>
      <c r="G18" s="91">
        <f aca="true" t="shared" si="13" ref="G18:P18">G6</f>
        <v>745.6671857140793</v>
      </c>
      <c r="H18" s="91">
        <f t="shared" si="13"/>
        <v>759.8202354683883</v>
      </c>
      <c r="I18" s="94" t="str">
        <f t="shared" si="13"/>
        <v>ГДж</v>
      </c>
      <c r="J18" s="131">
        <f t="shared" si="13"/>
        <v>44</v>
      </c>
      <c r="K18" s="117">
        <f t="shared" si="13"/>
        <v>29852.643780774986</v>
      </c>
      <c r="L18" s="117">
        <f t="shared" si="12"/>
        <v>29541.93735129252</v>
      </c>
      <c r="M18" s="91">
        <f t="shared" si="12"/>
        <v>29729.614277823108</v>
      </c>
      <c r="N18" s="91">
        <f t="shared" si="13"/>
        <v>25087.394442448975</v>
      </c>
      <c r="O18" s="96">
        <f t="shared" si="13"/>
        <v>32809.35617141949</v>
      </c>
      <c r="P18" s="97">
        <f t="shared" si="13"/>
        <v>33432.09036060909</v>
      </c>
    </row>
    <row r="19" spans="1:16" ht="14.25">
      <c r="A19" s="87" t="s">
        <v>74</v>
      </c>
      <c r="B19" s="89" t="s">
        <v>79</v>
      </c>
      <c r="C19" s="117">
        <f t="shared" si="9"/>
        <v>17948.20203897767</v>
      </c>
      <c r="D19" s="117">
        <f t="shared" si="9"/>
        <v>20216.728864533794</v>
      </c>
      <c r="E19" s="91">
        <f t="shared" si="10"/>
        <v>23296.854219133165</v>
      </c>
      <c r="F19" s="91">
        <f t="shared" si="10"/>
        <v>25270.93022562874</v>
      </c>
      <c r="G19" s="91">
        <f aca="true" t="shared" si="14" ref="G19:P19">G7</f>
        <v>25011.22650487954</v>
      </c>
      <c r="H19" s="91">
        <f t="shared" si="14"/>
        <v>19685.82108587718</v>
      </c>
      <c r="I19" s="94" t="str">
        <f t="shared" si="14"/>
        <v>ГДж</v>
      </c>
      <c r="J19" s="131">
        <f t="shared" si="14"/>
        <v>43.12</v>
      </c>
      <c r="K19" s="117">
        <f t="shared" si="14"/>
        <v>773926.471920717</v>
      </c>
      <c r="L19" s="117">
        <f t="shared" si="12"/>
        <v>871745.3486386972</v>
      </c>
      <c r="M19" s="91">
        <f t="shared" si="12"/>
        <v>1004560.353929022</v>
      </c>
      <c r="N19" s="91">
        <f t="shared" si="14"/>
        <v>1089682.5113291112</v>
      </c>
      <c r="O19" s="91">
        <f t="shared" si="14"/>
        <v>1078484.0868904057</v>
      </c>
      <c r="P19" s="93">
        <f t="shared" si="14"/>
        <v>848852.605223024</v>
      </c>
    </row>
    <row r="20" spans="1:16" ht="14.25">
      <c r="A20" s="88" t="s">
        <v>51</v>
      </c>
      <c r="B20" s="90" t="s">
        <v>80</v>
      </c>
      <c r="C20" s="126">
        <f t="shared" si="9"/>
        <v>24.287163999999997</v>
      </c>
      <c r="D20" s="126">
        <f t="shared" si="9"/>
        <v>24.505114</v>
      </c>
      <c r="E20" s="92">
        <f t="shared" si="10"/>
        <v>24.368371</v>
      </c>
      <c r="F20" s="92">
        <f t="shared" si="10"/>
        <v>25.21269</v>
      </c>
      <c r="G20" s="92">
        <f aca="true" t="shared" si="15" ref="G20:P20">G8</f>
        <v>23.160155999999997</v>
      </c>
      <c r="H20" s="92">
        <f t="shared" si="15"/>
        <v>25.041005000000006</v>
      </c>
      <c r="I20" s="95" t="str">
        <f t="shared" si="15"/>
        <v>ГДж</v>
      </c>
      <c r="J20" s="131">
        <f t="shared" si="15"/>
        <v>47140</v>
      </c>
      <c r="K20" s="117">
        <f t="shared" si="15"/>
        <v>1144896.9109599998</v>
      </c>
      <c r="L20" s="117">
        <f t="shared" si="12"/>
        <v>1155171.07396</v>
      </c>
      <c r="M20" s="91">
        <f t="shared" si="12"/>
        <v>1148725.00894</v>
      </c>
      <c r="N20" s="91">
        <f t="shared" si="15"/>
        <v>1188526.2066</v>
      </c>
      <c r="O20" s="91">
        <f t="shared" si="15"/>
        <v>1091769.75384</v>
      </c>
      <c r="P20" s="93">
        <f t="shared" si="15"/>
        <v>1180432.9757000003</v>
      </c>
    </row>
    <row r="21" spans="1:16" ht="15">
      <c r="A21" s="104" t="s">
        <v>85</v>
      </c>
      <c r="B21" s="105"/>
      <c r="C21" s="105"/>
      <c r="D21" s="106"/>
      <c r="E21" s="106"/>
      <c r="F21" s="106"/>
      <c r="G21" s="106"/>
      <c r="H21" s="107"/>
      <c r="I21" s="108" t="str">
        <f>I9</f>
        <v>ГДж</v>
      </c>
      <c r="J21" s="133"/>
      <c r="K21" s="124">
        <f aca="true" t="shared" si="16" ref="K21:P21">SUM(K15:K20)</f>
        <v>35080554.71711986</v>
      </c>
      <c r="L21" s="124">
        <f t="shared" si="16"/>
        <v>33908573.46582226</v>
      </c>
      <c r="M21" s="109">
        <f t="shared" si="16"/>
        <v>33490918.28430678</v>
      </c>
      <c r="N21" s="110">
        <f t="shared" si="16"/>
        <v>30465102.512979414</v>
      </c>
      <c r="O21" s="110">
        <f t="shared" si="16"/>
        <v>31312553.07573234</v>
      </c>
      <c r="P21" s="111">
        <f t="shared" si="16"/>
        <v>29158775.188923344</v>
      </c>
    </row>
    <row r="22" spans="3:4" ht="14.25">
      <c r="C22" s="135">
        <f>C16/C4</f>
        <v>0.14456154863623064</v>
      </c>
      <c r="D22" s="135">
        <f>D16/D4</f>
        <v>0.13887801294414998</v>
      </c>
    </row>
    <row r="23" ht="14.25">
      <c r="D23" s="135"/>
    </row>
    <row r="24" ht="15">
      <c r="A24" s="86" t="s">
        <v>91</v>
      </c>
    </row>
    <row r="25" spans="1:16" ht="15">
      <c r="A25" s="112" t="s">
        <v>75</v>
      </c>
      <c r="B25" s="113" t="s">
        <v>81</v>
      </c>
      <c r="C25" s="123">
        <v>2023</v>
      </c>
      <c r="D25" s="123">
        <v>2022</v>
      </c>
      <c r="E25" s="114">
        <v>2021</v>
      </c>
      <c r="F25" s="114">
        <v>2020</v>
      </c>
      <c r="G25" s="114">
        <v>2019</v>
      </c>
      <c r="H25" s="114">
        <v>2018</v>
      </c>
      <c r="I25" s="115" t="s">
        <v>81</v>
      </c>
      <c r="J25" s="113" t="s">
        <v>84</v>
      </c>
      <c r="K25" s="123">
        <v>2023</v>
      </c>
      <c r="L25" s="123">
        <v>2022</v>
      </c>
      <c r="M25" s="114">
        <v>2021</v>
      </c>
      <c r="N25" s="114">
        <v>2020</v>
      </c>
      <c r="O25" s="114">
        <v>2019</v>
      </c>
      <c r="P25" s="116">
        <v>2018</v>
      </c>
    </row>
    <row r="26" spans="1:16" ht="14.25">
      <c r="A26" s="87" t="s">
        <v>83</v>
      </c>
      <c r="B26" s="89" t="s">
        <v>76</v>
      </c>
      <c r="C26" s="118">
        <f>Потребление!C19</f>
        <v>310.890596</v>
      </c>
      <c r="D26" s="118">
        <f>Потребление!F19</f>
        <v>289.4656</v>
      </c>
      <c r="E26" s="118">
        <f>Потребление!I19</f>
        <v>284.049843</v>
      </c>
      <c r="F26" s="118">
        <f>Потребление!L19</f>
        <v>280.868314</v>
      </c>
      <c r="G26" s="118">
        <f>Потребление!O19</f>
        <v>249.767839</v>
      </c>
      <c r="H26" s="118">
        <f>Потребление!R19</f>
        <v>262.942595</v>
      </c>
      <c r="I26" s="94" t="s">
        <v>86</v>
      </c>
      <c r="J26" s="131">
        <f>1000000*3412.14*1055.06/1000000000</f>
        <v>3600.0124284</v>
      </c>
      <c r="K26" s="117">
        <f aca="true" t="shared" si="17" ref="K26:P26">C26*$J$3</f>
        <v>1119210.0094726833</v>
      </c>
      <c r="L26" s="117">
        <f t="shared" si="17"/>
        <v>1042079.757594263</v>
      </c>
      <c r="M26" s="91">
        <f t="shared" si="17"/>
        <v>1022582.9650850687</v>
      </c>
      <c r="N26" s="91">
        <f t="shared" si="17"/>
        <v>1011129.4211437537</v>
      </c>
      <c r="O26" s="91">
        <f t="shared" si="17"/>
        <v>899167.3246146102</v>
      </c>
      <c r="P26" s="93">
        <f t="shared" si="17"/>
        <v>946596.6099557476</v>
      </c>
    </row>
    <row r="27" spans="1:16" ht="14.25">
      <c r="A27" s="87" t="s">
        <v>89</v>
      </c>
      <c r="B27" s="89" t="s">
        <v>77</v>
      </c>
      <c r="C27" s="118">
        <f>Потребление!C9</f>
        <v>1006.338</v>
      </c>
      <c r="D27" s="118">
        <f>Потребление!F9</f>
        <v>876.2133550000001</v>
      </c>
      <c r="E27" s="118">
        <f>Потребление!I9</f>
        <v>946.225444</v>
      </c>
      <c r="F27" s="118">
        <f>Потребление!L9</f>
        <v>910.686376</v>
      </c>
      <c r="G27" s="118">
        <f>Потребление!O9</f>
        <v>731.394275</v>
      </c>
      <c r="H27" s="118">
        <f>Потребление!R9</f>
        <v>849.487742</v>
      </c>
      <c r="I27" s="94" t="s">
        <v>86</v>
      </c>
      <c r="J27" s="131">
        <f>1000*32.35*1000000*1055.06/1000000000</f>
        <v>34131.191</v>
      </c>
      <c r="K27" s="117">
        <f aca="true" t="shared" si="18" ref="K27:P27">C27*$J$4</f>
        <v>34347514.488557994</v>
      </c>
      <c r="L27" s="117">
        <f t="shared" si="18"/>
        <v>29906205.376255807</v>
      </c>
      <c r="M27" s="117">
        <f t="shared" si="18"/>
        <v>32295801.358223803</v>
      </c>
      <c r="N27" s="91">
        <f t="shared" si="18"/>
        <v>31082810.640353814</v>
      </c>
      <c r="O27" s="91">
        <f t="shared" si="18"/>
        <v>24963357.696331523</v>
      </c>
      <c r="P27" s="93">
        <f t="shared" si="18"/>
        <v>28994028.37436072</v>
      </c>
    </row>
    <row r="28" spans="1:16" ht="14.25">
      <c r="A28" s="87" t="s">
        <v>82</v>
      </c>
      <c r="B28" s="89" t="s">
        <v>78</v>
      </c>
      <c r="C28" s="98"/>
      <c r="D28" s="98"/>
      <c r="E28" s="91"/>
      <c r="F28" s="91"/>
      <c r="G28" s="91"/>
      <c r="H28" s="91"/>
      <c r="I28" s="94" t="s">
        <v>86</v>
      </c>
      <c r="J28" s="131">
        <f>1000*1000000000*4.1868/1000000000</f>
        <v>4186.8</v>
      </c>
      <c r="K28" s="117">
        <f aca="true" t="shared" si="19" ref="K28:P28">C28*$J$5</f>
        <v>0</v>
      </c>
      <c r="L28" s="117">
        <f t="shared" si="19"/>
        <v>0</v>
      </c>
      <c r="M28" s="91">
        <f t="shared" si="19"/>
        <v>0</v>
      </c>
      <c r="N28" s="91">
        <f t="shared" si="19"/>
        <v>0</v>
      </c>
      <c r="O28" s="91">
        <f t="shared" si="19"/>
        <v>0</v>
      </c>
      <c r="P28" s="93">
        <f t="shared" si="19"/>
        <v>0</v>
      </c>
    </row>
    <row r="29" spans="1:16" ht="14.25">
      <c r="A29" s="87" t="s">
        <v>73</v>
      </c>
      <c r="B29" s="89" t="s">
        <v>79</v>
      </c>
      <c r="C29" s="118">
        <f>Потребление!C118</f>
        <v>264.43915551020416</v>
      </c>
      <c r="D29" s="118">
        <f>Потребление!F118</f>
        <v>269.498751564626</v>
      </c>
      <c r="E29" s="118">
        <f>Потребление!I118</f>
        <v>269.756198843537</v>
      </c>
      <c r="F29" s="118">
        <f>Потребление!L118</f>
        <v>213.79746</v>
      </c>
      <c r="G29" s="118">
        <f>Потребление!O118</f>
        <v>296.7656</v>
      </c>
      <c r="H29" s="118">
        <f>Потребление!R118</f>
        <v>297.0678</v>
      </c>
      <c r="I29" s="94" t="s">
        <v>86</v>
      </c>
      <c r="J29" s="131">
        <f>1000*1000000*44/1000000000</f>
        <v>44</v>
      </c>
      <c r="K29" s="117">
        <f aca="true" t="shared" si="20" ref="K29:P29">C29*$J$6</f>
        <v>11635.322842448983</v>
      </c>
      <c r="L29" s="117">
        <f t="shared" si="20"/>
        <v>11857.945068843543</v>
      </c>
      <c r="M29" s="91">
        <f t="shared" si="20"/>
        <v>11869.272749115627</v>
      </c>
      <c r="N29" s="91">
        <f t="shared" si="20"/>
        <v>9407.088240000001</v>
      </c>
      <c r="O29" s="96">
        <f t="shared" si="20"/>
        <v>13057.6864</v>
      </c>
      <c r="P29" s="97">
        <f t="shared" si="20"/>
        <v>13070.983199999999</v>
      </c>
    </row>
    <row r="30" spans="1:16" ht="14.25">
      <c r="A30" s="87" t="s">
        <v>74</v>
      </c>
      <c r="B30" s="89" t="s">
        <v>79</v>
      </c>
      <c r="C30" s="118">
        <f>Потребление!C129</f>
        <v>949.07891</v>
      </c>
      <c r="D30" s="118">
        <f>Потребление!F129</f>
        <v>891.000212857143</v>
      </c>
      <c r="E30" s="118">
        <f>Потребление!I129</f>
        <v>944.540194761905</v>
      </c>
      <c r="F30" s="118">
        <f>Потребление!L129</f>
        <v>896.90747</v>
      </c>
      <c r="G30" s="118">
        <f>Потребление!O129</f>
        <v>1156.83246</v>
      </c>
      <c r="H30" s="118">
        <f>Потребление!R129</f>
        <v>1202.8477</v>
      </c>
      <c r="I30" s="94" t="s">
        <v>86</v>
      </c>
      <c r="J30" s="131">
        <f>1000*1000000*43.12/1000000000</f>
        <v>43.12</v>
      </c>
      <c r="K30" s="117">
        <f aca="true" t="shared" si="21" ref="K30:P30">C30*$J$7</f>
        <v>40924.28259919999</v>
      </c>
      <c r="L30" s="117">
        <f t="shared" si="21"/>
        <v>38419.9291784</v>
      </c>
      <c r="M30" s="91">
        <f t="shared" si="21"/>
        <v>40728.573198133345</v>
      </c>
      <c r="N30" s="91">
        <f t="shared" si="21"/>
        <v>38674.6501064</v>
      </c>
      <c r="O30" s="91">
        <f t="shared" si="21"/>
        <v>49882.6156752</v>
      </c>
      <c r="P30" s="93">
        <f t="shared" si="21"/>
        <v>51866.792824</v>
      </c>
    </row>
    <row r="31" spans="1:16" ht="14.25">
      <c r="A31" s="88" t="s">
        <v>51</v>
      </c>
      <c r="B31" s="90" t="s">
        <v>80</v>
      </c>
      <c r="C31" s="119">
        <f>Потребление!C140</f>
        <v>0</v>
      </c>
      <c r="D31" s="119">
        <f>Потребление!F140</f>
        <v>0</v>
      </c>
      <c r="E31" s="119">
        <f>Потребление!I140</f>
        <v>0</v>
      </c>
      <c r="F31" s="119">
        <f>Потребление!L140</f>
        <v>0</v>
      </c>
      <c r="G31" s="119">
        <f>Потребление!O140</f>
        <v>0</v>
      </c>
      <c r="H31" s="119">
        <f>Потребление!R140</f>
        <v>0</v>
      </c>
      <c r="I31" s="95" t="s">
        <v>86</v>
      </c>
      <c r="J31" s="132">
        <f>1000*1000000000*47.14/1000000000</f>
        <v>47140</v>
      </c>
      <c r="K31" s="117">
        <f aca="true" t="shared" si="22" ref="K31:P31">C31*$J$8</f>
        <v>0</v>
      </c>
      <c r="L31" s="117">
        <f t="shared" si="22"/>
        <v>0</v>
      </c>
      <c r="M31" s="91">
        <f t="shared" si="22"/>
        <v>0</v>
      </c>
      <c r="N31" s="91">
        <f t="shared" si="22"/>
        <v>0</v>
      </c>
      <c r="O31" s="91">
        <f t="shared" si="22"/>
        <v>0</v>
      </c>
      <c r="P31" s="93">
        <f t="shared" si="22"/>
        <v>0</v>
      </c>
    </row>
    <row r="32" spans="1:16" ht="15">
      <c r="A32" s="104" t="s">
        <v>85</v>
      </c>
      <c r="B32" s="105"/>
      <c r="C32" s="105"/>
      <c r="D32" s="106"/>
      <c r="E32" s="106"/>
      <c r="F32" s="106"/>
      <c r="G32" s="106"/>
      <c r="H32" s="107"/>
      <c r="I32" s="108" t="s">
        <v>86</v>
      </c>
      <c r="J32" s="133"/>
      <c r="K32" s="124">
        <f aca="true" t="shared" si="23" ref="K32:P32">SUM(K26:K31)</f>
        <v>35519284.10347233</v>
      </c>
      <c r="L32" s="124">
        <f t="shared" si="23"/>
        <v>30998563.008097313</v>
      </c>
      <c r="M32" s="109">
        <f t="shared" si="23"/>
        <v>33370982.169256117</v>
      </c>
      <c r="N32" s="110">
        <f t="shared" si="23"/>
        <v>32142021.79984397</v>
      </c>
      <c r="O32" s="110">
        <f t="shared" si="23"/>
        <v>25925465.323021334</v>
      </c>
      <c r="P32" s="111">
        <f t="shared" si="23"/>
        <v>30005562.760340467</v>
      </c>
    </row>
    <row r="33" spans="11:16" ht="14.25">
      <c r="K33" s="141"/>
      <c r="L33" s="141"/>
      <c r="M33" s="142"/>
      <c r="N33" s="142"/>
      <c r="O33" s="143"/>
      <c r="P33" s="143"/>
    </row>
    <row r="34" spans="11:16" ht="14.25">
      <c r="K34" s="144"/>
      <c r="L34" s="144"/>
      <c r="M34" s="143"/>
      <c r="N34" s="143"/>
      <c r="O34" s="143"/>
      <c r="P34" s="143"/>
    </row>
  </sheetData>
  <sheetProtection/>
  <printOptions/>
  <pageMargins left="0.7" right="0.7" top="0.75" bottom="0.75" header="0.3" footer="0.3"/>
  <pageSetup horizontalDpi="600" verticalDpi="600" orientation="portrait" paperSize="9" r:id="rId3"/>
  <ignoredErrors>
    <ignoredError sqref="N16:P1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ipopov</dc:creator>
  <cp:keywords/>
  <dc:description/>
  <cp:lastModifiedBy>Yashin Alexander</cp:lastModifiedBy>
  <cp:lastPrinted>2018-02-26T06:51:28Z</cp:lastPrinted>
  <dcterms:created xsi:type="dcterms:W3CDTF">2008-05-15T06:36:52Z</dcterms:created>
  <dcterms:modified xsi:type="dcterms:W3CDTF">2024-03-29T08:56:22Z</dcterms:modified>
  <cp:category/>
  <cp:version/>
  <cp:contentType/>
  <cp:contentStatus/>
</cp:coreProperties>
</file>